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APTISTA4\Rede\CONVENIOS\PM_PLACAS\2022\0-CONVÊNIOS ESTADO\1-SEDOP\2 -CONTRUÇÃO DO COMPLEXO ADMINISTRATIVO DO MUNICIPIO DE PLACAS\3_PREFEITURA\2_ ORÇAMENTO\"/>
    </mc:Choice>
  </mc:AlternateContent>
  <bookViews>
    <workbookView xWindow="0" yWindow="0" windowWidth="20490" windowHeight="7635" tabRatio="924"/>
  </bookViews>
  <sheets>
    <sheet name="CFF" sheetId="4" r:id="rId1"/>
    <sheet name="BDI" sheetId="21" r:id="rId2"/>
    <sheet name="ENC.SOC." sheetId="22" r:id="rId3"/>
    <sheet name="COMPOSIÇÕES" sheetId="16" r:id="rId4"/>
    <sheet name="ORÇ" sheetId="3" r:id="rId5"/>
    <sheet name="ADM. LOC. 1" sheetId="32" r:id="rId6"/>
    <sheet name="SER.PREL.2" sheetId="5" r:id="rId7"/>
    <sheet name="MOV. TER.3" sheetId="6" r:id="rId8"/>
    <sheet name="EST.4" sheetId="7" r:id="rId9"/>
    <sheet name="COB. 5" sheetId="9" r:id="rId10"/>
    <sheet name="PAV. 6" sheetId="10" r:id="rId11"/>
    <sheet name="PAR. 7" sheetId="11" r:id="rId12"/>
    <sheet name="REV. DE PAR. 8" sheetId="12" r:id="rId13"/>
    <sheet name="ESQ. 9" sheetId="13" r:id="rId14"/>
    <sheet name="PINT. 10" sheetId="14" r:id="rId15"/>
    <sheet name="ELE. 11" sheetId="26" r:id="rId16"/>
    <sheet name="INS. LÓG. 12" sheetId="31" r:id="rId17"/>
    <sheet name="INS. AR. 13" sheetId="34" r:id="rId18"/>
    <sheet name="INC. 14" sheetId="28" r:id="rId19"/>
    <sheet name="INS. HID. 15" sheetId="27" r:id="rId20"/>
    <sheet name="LOUÇ. ACESS. E META. 16" sheetId="29" r:id="rId21"/>
    <sheet name="MURO 17" sheetId="35" r:id="rId22"/>
    <sheet name="SERV. DIV. 18" sheetId="18" r:id="rId23"/>
    <sheet name="CAS.BOMB.CIST.19" sheetId="36" r:id="rId24"/>
    <sheet name="FAC. 20" sheetId="33" r:id="rId25"/>
    <sheet name="SERV. FINAIS 21" sheetId="19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5">'ADM. LOC. 1'!$A$1:$K$27</definedName>
    <definedName name="_xlnm.Print_Area" localSheetId="1">BDI!$A$1:$T$52</definedName>
    <definedName name="_xlnm.Print_Area" localSheetId="23">CAS.BOMB.CIST.19!$A$1:$N$165</definedName>
    <definedName name="_xlnm.Print_Area" localSheetId="0">CFF!$A$1:$AA$74</definedName>
    <definedName name="_xlnm.Print_Area" localSheetId="9">'COB. 5'!$A$1:$L$302</definedName>
    <definedName name="_xlnm.Print_Area" localSheetId="3">COMPOSIÇÕES!$A$1:$M$863</definedName>
    <definedName name="_xlnm.Print_Area" localSheetId="15">'ELE. 11'!$A$1:$K$482</definedName>
    <definedName name="_xlnm.Print_Area" localSheetId="13">'ESQ. 9'!$A$1:$K$256</definedName>
    <definedName name="_xlnm.Print_Area" localSheetId="8">EST.4!$A$1:$K$85</definedName>
    <definedName name="_xlnm.Print_Area" localSheetId="24">'FAC. 20'!$A$1:$N$53</definedName>
    <definedName name="_xlnm.Print_Area" localSheetId="18">'INC. 14'!$A$1:$N$112</definedName>
    <definedName name="_xlnm.Print_Area" localSheetId="17">'INS. AR. 13'!$A$1:$N$62</definedName>
    <definedName name="_xlnm.Print_Area" localSheetId="19">'INS. HID. 15'!$A$1:$Q$287</definedName>
    <definedName name="_xlnm.Print_Area" localSheetId="16">'INS. LÓG. 12'!$A$1:$N$163</definedName>
    <definedName name="_xlnm.Print_Area" localSheetId="20">'LOUÇ. ACESS. E META. 16'!$A$1:$N$233</definedName>
    <definedName name="_xlnm.Print_Area" localSheetId="7">'MOV. TER.3'!$A$1:$K$62</definedName>
    <definedName name="_xlnm.Print_Area" localSheetId="21">'MURO 17'!$A$1:$N$41</definedName>
    <definedName name="_xlnm.Print_Area" localSheetId="4">ORÇ!$A$1:$J$488</definedName>
    <definedName name="_xlnm.Print_Area" localSheetId="11">'PAR. 7'!$A$1:$K$147</definedName>
    <definedName name="_xlnm.Print_Area" localSheetId="10">'PAV. 6'!$A$1:$K$293</definedName>
    <definedName name="_xlnm.Print_Area" localSheetId="14">'PINT. 10'!$A$1:$K$84</definedName>
    <definedName name="_xlnm.Print_Area" localSheetId="12">'REV. DE PAR. 8'!$A$1:$K$170</definedName>
    <definedName name="_xlnm.Print_Area" localSheetId="6">SER.PREL.2!$A$1:$J$37</definedName>
    <definedName name="_xlnm.Print_Area" localSheetId="22">'SERV. DIV. 18'!$A$1:$N$55</definedName>
    <definedName name="_xlnm.Print_Area" localSheetId="25">'SERV. FINAIS 21'!$A$1:$N$20</definedName>
    <definedName name="_xlnm.Print_Titles" localSheetId="4">ORÇ!$1:$12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7" i="6" l="1"/>
  <c r="A30" i="6"/>
  <c r="A21" i="6"/>
  <c r="A34" i="5"/>
  <c r="A27" i="5"/>
  <c r="A20" i="5"/>
  <c r="A14" i="5"/>
  <c r="A13" i="5"/>
  <c r="A840" i="16" l="1"/>
  <c r="F126" i="3"/>
  <c r="I24" i="21"/>
  <c r="AB51" i="4"/>
  <c r="O481" i="16"/>
  <c r="O587" i="16"/>
  <c r="O600" i="16"/>
  <c r="O603" i="16"/>
  <c r="O607" i="16"/>
  <c r="O609" i="16"/>
  <c r="O809" i="16"/>
  <c r="O812" i="16"/>
  <c r="O816" i="16"/>
  <c r="O818" i="16"/>
  <c r="O836" i="16"/>
  <c r="G311" i="3"/>
  <c r="F312" i="3"/>
  <c r="F311" i="3"/>
  <c r="F302" i="3"/>
  <c r="F303" i="3"/>
  <c r="F304" i="3"/>
  <c r="F305" i="3"/>
  <c r="F306" i="3"/>
  <c r="F307" i="3"/>
  <c r="F308" i="3"/>
  <c r="F309" i="3"/>
  <c r="F310" i="3"/>
  <c r="F247" i="3"/>
  <c r="F248" i="3"/>
  <c r="F249" i="3"/>
  <c r="F250" i="3"/>
  <c r="F251" i="3"/>
  <c r="B252" i="3"/>
  <c r="D252" i="3"/>
  <c r="C459" i="26" s="1"/>
  <c r="F252" i="3"/>
  <c r="G252" i="3"/>
  <c r="F253" i="3"/>
  <c r="F254" i="3"/>
  <c r="F255" i="3"/>
  <c r="F256" i="3"/>
  <c r="F257" i="3"/>
  <c r="B479" i="26"/>
  <c r="C471" i="26"/>
  <c r="B471" i="26"/>
  <c r="B467" i="26"/>
  <c r="B463" i="26"/>
  <c r="A373" i="16"/>
  <c r="C455" i="26"/>
  <c r="B455" i="26"/>
  <c r="B451" i="26"/>
  <c r="B447" i="26"/>
  <c r="C439" i="26"/>
  <c r="B439" i="26"/>
  <c r="B15" i="26"/>
  <c r="C15" i="26"/>
  <c r="B16" i="26"/>
  <c r="C16" i="26"/>
  <c r="B20" i="26"/>
  <c r="C20" i="26"/>
  <c r="B24" i="26"/>
  <c r="C24" i="26"/>
  <c r="B28" i="26"/>
  <c r="C28" i="26"/>
  <c r="B32" i="26"/>
  <c r="C32" i="26"/>
  <c r="B36" i="26"/>
  <c r="C36" i="26"/>
  <c r="B40" i="26"/>
  <c r="C40" i="26"/>
  <c r="B44" i="26"/>
  <c r="C44" i="26"/>
  <c r="B48" i="26"/>
  <c r="C48" i="26"/>
  <c r="B52" i="26"/>
  <c r="C52" i="26"/>
  <c r="B53" i="26"/>
  <c r="B57" i="26"/>
  <c r="B61" i="26"/>
  <c r="C61" i="26"/>
  <c r="B65" i="26"/>
  <c r="B69" i="26"/>
  <c r="B73" i="26"/>
  <c r="B77" i="26"/>
  <c r="B81" i="26"/>
  <c r="B85" i="26"/>
  <c r="B89" i="26"/>
  <c r="C89" i="26"/>
  <c r="B93" i="26"/>
  <c r="C93" i="26"/>
  <c r="B97" i="26"/>
  <c r="C97" i="26"/>
  <c r="B101" i="26"/>
  <c r="C101" i="26"/>
  <c r="B105" i="26"/>
  <c r="C105" i="26"/>
  <c r="B109" i="26"/>
  <c r="C109" i="26"/>
  <c r="B113" i="26"/>
  <c r="C113" i="26"/>
  <c r="B117" i="26"/>
  <c r="C117" i="26"/>
  <c r="B121" i="26"/>
  <c r="C121" i="26"/>
  <c r="B125" i="26"/>
  <c r="C125" i="26"/>
  <c r="B129" i="26"/>
  <c r="C129" i="26"/>
  <c r="B133" i="26"/>
  <c r="C133" i="26"/>
  <c r="B137" i="26"/>
  <c r="C137" i="26"/>
  <c r="B138" i="26"/>
  <c r="B142" i="26"/>
  <c r="B146" i="26"/>
  <c r="C146" i="26"/>
  <c r="B150" i="26"/>
  <c r="C150" i="26"/>
  <c r="B155" i="26"/>
  <c r="C155" i="26"/>
  <c r="B159" i="26"/>
  <c r="C159" i="26"/>
  <c r="B163" i="26"/>
  <c r="C163" i="26"/>
  <c r="B167" i="26"/>
  <c r="C167" i="26"/>
  <c r="B168" i="26"/>
  <c r="C168" i="26"/>
  <c r="B172" i="26"/>
  <c r="C172" i="26"/>
  <c r="B176" i="26"/>
  <c r="C176" i="26"/>
  <c r="B180" i="26"/>
  <c r="C180" i="26"/>
  <c r="B184" i="26"/>
  <c r="C184" i="26"/>
  <c r="B185" i="26"/>
  <c r="C185" i="26"/>
  <c r="B189" i="26"/>
  <c r="C189" i="26"/>
  <c r="B193" i="26"/>
  <c r="C193" i="26"/>
  <c r="B197" i="26"/>
  <c r="C197" i="26"/>
  <c r="B201" i="26"/>
  <c r="C201" i="26"/>
  <c r="B202" i="26"/>
  <c r="C202" i="26"/>
  <c r="B206" i="26"/>
  <c r="C206" i="26"/>
  <c r="B210" i="26"/>
  <c r="C210" i="26"/>
  <c r="B214" i="26"/>
  <c r="C214" i="26"/>
  <c r="B218" i="26"/>
  <c r="C218" i="26"/>
  <c r="B219" i="26"/>
  <c r="C219" i="26"/>
  <c r="B223" i="26"/>
  <c r="C223" i="26"/>
  <c r="B227" i="26"/>
  <c r="C227" i="26"/>
  <c r="B231" i="26"/>
  <c r="C231" i="26"/>
  <c r="B235" i="26"/>
  <c r="C235" i="26"/>
  <c r="B236" i="26"/>
  <c r="C236" i="26"/>
  <c r="B240" i="26"/>
  <c r="C240" i="26"/>
  <c r="B244" i="26"/>
  <c r="C244" i="26"/>
  <c r="B248" i="26"/>
  <c r="C248" i="26"/>
  <c r="B252" i="26"/>
  <c r="C252" i="26"/>
  <c r="B256" i="26"/>
  <c r="C256" i="26"/>
  <c r="B257" i="26"/>
  <c r="C257" i="26"/>
  <c r="B261" i="26"/>
  <c r="B265" i="26"/>
  <c r="B269" i="26"/>
  <c r="B273" i="26"/>
  <c r="B277" i="26"/>
  <c r="B281" i="26"/>
  <c r="C281" i="26"/>
  <c r="B285" i="26"/>
  <c r="C285" i="26"/>
  <c r="B289" i="26"/>
  <c r="C289" i="26"/>
  <c r="B293" i="26"/>
  <c r="C293" i="26"/>
  <c r="B297" i="26"/>
  <c r="B301" i="26"/>
  <c r="C301" i="26"/>
  <c r="B305" i="26"/>
  <c r="C305" i="26"/>
  <c r="B309" i="26"/>
  <c r="C309" i="26"/>
  <c r="B313" i="26"/>
  <c r="C313" i="26"/>
  <c r="B314" i="26"/>
  <c r="B318" i="26"/>
  <c r="B322" i="26"/>
  <c r="B326" i="26"/>
  <c r="B330" i="26"/>
  <c r="B334" i="26"/>
  <c r="B338" i="26"/>
  <c r="C338" i="26"/>
  <c r="B342" i="26"/>
  <c r="C342" i="26"/>
  <c r="B346" i="26"/>
  <c r="B350" i="26"/>
  <c r="B354" i="26"/>
  <c r="C354" i="26"/>
  <c r="B358" i="26"/>
  <c r="C358" i="26"/>
  <c r="B362" i="26"/>
  <c r="C362" i="26"/>
  <c r="B366" i="26"/>
  <c r="C366" i="26"/>
  <c r="B370" i="26"/>
  <c r="B374" i="26"/>
  <c r="B378" i="26"/>
  <c r="B382" i="26"/>
  <c r="C382" i="26"/>
  <c r="B386" i="26"/>
  <c r="C386" i="26"/>
  <c r="B390" i="26"/>
  <c r="C390" i="26"/>
  <c r="B394" i="26"/>
  <c r="C394" i="26"/>
  <c r="B398" i="26"/>
  <c r="C398" i="26"/>
  <c r="B402" i="26"/>
  <c r="C402" i="26"/>
  <c r="B406" i="26"/>
  <c r="C406" i="26"/>
  <c r="B410" i="26"/>
  <c r="C410" i="26"/>
  <c r="B414" i="26"/>
  <c r="C414" i="26"/>
  <c r="B418" i="26"/>
  <c r="C418" i="26"/>
  <c r="B422" i="26"/>
  <c r="C422" i="26"/>
  <c r="B426" i="26"/>
  <c r="C426" i="26"/>
  <c r="B430" i="26"/>
  <c r="C430" i="26"/>
  <c r="B434" i="26"/>
  <c r="C434" i="26"/>
  <c r="B438" i="26"/>
  <c r="C438" i="26"/>
  <c r="C443" i="26"/>
  <c r="C447" i="26"/>
  <c r="C451" i="26"/>
  <c r="C463" i="26"/>
  <c r="C467" i="26"/>
  <c r="C475" i="26"/>
  <c r="C479" i="26"/>
  <c r="A120" i="16"/>
  <c r="M123" i="16"/>
  <c r="M126" i="16" s="1"/>
  <c r="G144" i="3" s="1"/>
  <c r="M124" i="16"/>
  <c r="M125" i="16"/>
  <c r="A129" i="16"/>
  <c r="M132" i="16"/>
  <c r="M135" i="16" s="1"/>
  <c r="G145" i="3" s="1"/>
  <c r="M133" i="16"/>
  <c r="M134" i="16"/>
  <c r="A138" i="16"/>
  <c r="M141" i="16"/>
  <c r="M144" i="16" s="1"/>
  <c r="G146" i="3" s="1"/>
  <c r="M142" i="16"/>
  <c r="M143" i="16"/>
  <c r="A147" i="16"/>
  <c r="M150" i="16"/>
  <c r="M151" i="16"/>
  <c r="M152" i="16"/>
  <c r="M153" i="16"/>
  <c r="A156" i="16"/>
  <c r="M159" i="16"/>
  <c r="M162" i="16" s="1"/>
  <c r="G148" i="3" s="1"/>
  <c r="M160" i="16"/>
  <c r="M161" i="16"/>
  <c r="A165" i="16"/>
  <c r="M168" i="16"/>
  <c r="M169" i="16"/>
  <c r="M171" i="16" s="1"/>
  <c r="G149" i="3" s="1"/>
  <c r="M170" i="16"/>
  <c r="A174" i="16"/>
  <c r="M177" i="16"/>
  <c r="M180" i="16" s="1"/>
  <c r="G150" i="3" s="1"/>
  <c r="M178" i="16"/>
  <c r="M179" i="16"/>
  <c r="A183" i="16"/>
  <c r="M186" i="16"/>
  <c r="M187" i="16"/>
  <c r="M188" i="16"/>
  <c r="M189" i="16"/>
  <c r="G151" i="3" s="1"/>
  <c r="A192" i="16"/>
  <c r="M195" i="16"/>
  <c r="M196" i="16"/>
  <c r="M197" i="16"/>
  <c r="M198" i="16" s="1"/>
  <c r="G152" i="3" s="1"/>
  <c r="A201" i="16"/>
  <c r="M204" i="16"/>
  <c r="M208" i="16" s="1"/>
  <c r="G166" i="3" s="1"/>
  <c r="M205" i="16"/>
  <c r="M206" i="16"/>
  <c r="M207" i="16"/>
  <c r="A211" i="16"/>
  <c r="M214" i="16"/>
  <c r="M215" i="16"/>
  <c r="M216" i="16"/>
  <c r="M217" i="16"/>
  <c r="G167" i="3" s="1"/>
  <c r="A220" i="16"/>
  <c r="M223" i="16"/>
  <c r="M224" i="16"/>
  <c r="M225" i="16"/>
  <c r="M226" i="16" s="1"/>
  <c r="G168" i="3" s="1"/>
  <c r="A229" i="16"/>
  <c r="M232" i="16"/>
  <c r="M235" i="16" s="1"/>
  <c r="G201" i="3" s="1"/>
  <c r="M233" i="16"/>
  <c r="M234" i="16"/>
  <c r="A238" i="16"/>
  <c r="M241" i="16"/>
  <c r="M242" i="16"/>
  <c r="M243" i="16"/>
  <c r="M244" i="16"/>
  <c r="G202" i="3" s="1"/>
  <c r="A247" i="16"/>
  <c r="M250" i="16"/>
  <c r="M251" i="16"/>
  <c r="M252" i="16"/>
  <c r="M253" i="16"/>
  <c r="A256" i="16"/>
  <c r="M259" i="16"/>
  <c r="M262" i="16" s="1"/>
  <c r="G204" i="3" s="1"/>
  <c r="M260" i="16"/>
  <c r="M261" i="16"/>
  <c r="A265" i="16"/>
  <c r="M268" i="16"/>
  <c r="M269" i="16"/>
  <c r="M271" i="16" s="1"/>
  <c r="G205" i="3" s="1"/>
  <c r="M270" i="16"/>
  <c r="A274" i="16"/>
  <c r="M277" i="16"/>
  <c r="M280" i="16" s="1"/>
  <c r="M278" i="16"/>
  <c r="M279" i="16"/>
  <c r="A283" i="16"/>
  <c r="M286" i="16"/>
  <c r="M287" i="16"/>
  <c r="M288" i="16"/>
  <c r="M289" i="16"/>
  <c r="G215" i="3" s="1"/>
  <c r="A292" i="16"/>
  <c r="M295" i="16"/>
  <c r="M296" i="16"/>
  <c r="M298" i="16" s="1"/>
  <c r="G216" i="3" s="1"/>
  <c r="M297" i="16"/>
  <c r="A301" i="16"/>
  <c r="M304" i="16"/>
  <c r="M307" i="16" s="1"/>
  <c r="G217" i="3" s="1"/>
  <c r="M305" i="16"/>
  <c r="M306" i="16"/>
  <c r="A310" i="16"/>
  <c r="M313" i="16"/>
  <c r="M314" i="16"/>
  <c r="M315" i="16"/>
  <c r="M316" i="16"/>
  <c r="G218" i="3" s="1"/>
  <c r="A319" i="16"/>
  <c r="M322" i="16"/>
  <c r="M323" i="16"/>
  <c r="M324" i="16"/>
  <c r="M325" i="16"/>
  <c r="A328" i="16"/>
  <c r="M331" i="16"/>
  <c r="M334" i="16" s="1"/>
  <c r="G220" i="3" s="1"/>
  <c r="M332" i="16"/>
  <c r="M333" i="16"/>
  <c r="A337" i="16"/>
  <c r="M340" i="16"/>
  <c r="M341" i="16"/>
  <c r="M343" i="16" s="1"/>
  <c r="G224" i="3" s="1"/>
  <c r="M342" i="16"/>
  <c r="A346" i="16"/>
  <c r="M349" i="16"/>
  <c r="M352" i="16" s="1"/>
  <c r="G229" i="3" s="1"/>
  <c r="M350" i="16"/>
  <c r="M351" i="16"/>
  <c r="A355" i="16"/>
  <c r="M358" i="16"/>
  <c r="M359" i="16"/>
  <c r="M360" i="16"/>
  <c r="M361" i="16"/>
  <c r="G230" i="3" s="1"/>
  <c r="A364" i="16"/>
  <c r="M367" i="16"/>
  <c r="M368" i="16"/>
  <c r="M370" i="16" s="1"/>
  <c r="G231" i="3" s="1"/>
  <c r="M369" i="16"/>
  <c r="M376" i="16"/>
  <c r="M379" i="16" s="1"/>
  <c r="M377" i="16"/>
  <c r="M378" i="16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D231" i="3"/>
  <c r="C378" i="26" s="1"/>
  <c r="B231" i="3"/>
  <c r="F230" i="3"/>
  <c r="D230" i="3"/>
  <c r="C374" i="26" s="1"/>
  <c r="B230" i="3"/>
  <c r="F229" i="3"/>
  <c r="D229" i="3"/>
  <c r="C370" i="26" s="1"/>
  <c r="B229" i="3"/>
  <c r="F228" i="3"/>
  <c r="F227" i="3"/>
  <c r="F226" i="3"/>
  <c r="F225" i="3"/>
  <c r="F224" i="3"/>
  <c r="D224" i="3"/>
  <c r="C350" i="26" s="1"/>
  <c r="B224" i="3"/>
  <c r="F223" i="3"/>
  <c r="D223" i="3"/>
  <c r="C346" i="26" s="1"/>
  <c r="B223" i="3"/>
  <c r="F222" i="3"/>
  <c r="F221" i="3"/>
  <c r="F220" i="3"/>
  <c r="D220" i="3"/>
  <c r="C334" i="26" s="1"/>
  <c r="B220" i="3"/>
  <c r="G219" i="3"/>
  <c r="F219" i="3"/>
  <c r="D219" i="3"/>
  <c r="C330" i="26" s="1"/>
  <c r="B219" i="3"/>
  <c r="F218" i="3"/>
  <c r="D218" i="3"/>
  <c r="C326" i="26" s="1"/>
  <c r="B218" i="3"/>
  <c r="F217" i="3"/>
  <c r="D217" i="3"/>
  <c r="C322" i="26" s="1"/>
  <c r="B217" i="3"/>
  <c r="F216" i="3"/>
  <c r="D216" i="3"/>
  <c r="C318" i="26" s="1"/>
  <c r="B216" i="3"/>
  <c r="F215" i="3"/>
  <c r="D215" i="3"/>
  <c r="C314" i="26" s="1"/>
  <c r="B215" i="3"/>
  <c r="F213" i="3"/>
  <c r="F212" i="3"/>
  <c r="F211" i="3"/>
  <c r="F210" i="3"/>
  <c r="D210" i="3"/>
  <c r="C297" i="26" s="1"/>
  <c r="B210" i="3"/>
  <c r="F209" i="3"/>
  <c r="F208" i="3"/>
  <c r="F207" i="3"/>
  <c r="F206" i="3"/>
  <c r="F205" i="3"/>
  <c r="D205" i="3"/>
  <c r="C277" i="26" s="1"/>
  <c r="B205" i="3"/>
  <c r="F204" i="3"/>
  <c r="D204" i="3"/>
  <c r="C273" i="26" s="1"/>
  <c r="B204" i="3"/>
  <c r="G203" i="3"/>
  <c r="F203" i="3"/>
  <c r="D203" i="3"/>
  <c r="C269" i="26" s="1"/>
  <c r="B203" i="3"/>
  <c r="F202" i="3"/>
  <c r="D202" i="3"/>
  <c r="C265" i="26" s="1"/>
  <c r="B202" i="3"/>
  <c r="F201" i="3"/>
  <c r="D201" i="3"/>
  <c r="C261" i="26" s="1"/>
  <c r="B201" i="3"/>
  <c r="F200" i="3"/>
  <c r="F198" i="3"/>
  <c r="F197" i="3"/>
  <c r="F196" i="3"/>
  <c r="F195" i="3"/>
  <c r="F194" i="3"/>
  <c r="F192" i="3"/>
  <c r="F191" i="3"/>
  <c r="F190" i="3"/>
  <c r="F189" i="3"/>
  <c r="F187" i="3"/>
  <c r="F186" i="3"/>
  <c r="F185" i="3"/>
  <c r="F184" i="3"/>
  <c r="F182" i="3"/>
  <c r="F181" i="3"/>
  <c r="F180" i="3"/>
  <c r="F179" i="3"/>
  <c r="F177" i="3"/>
  <c r="F176" i="3"/>
  <c r="F175" i="3"/>
  <c r="F174" i="3"/>
  <c r="F172" i="3"/>
  <c r="F171" i="3"/>
  <c r="F170" i="3"/>
  <c r="F169" i="3"/>
  <c r="F168" i="3"/>
  <c r="B168" i="3"/>
  <c r="F167" i="3"/>
  <c r="D167" i="3"/>
  <c r="C142" i="26" s="1"/>
  <c r="B167" i="3"/>
  <c r="F166" i="3"/>
  <c r="D166" i="3"/>
  <c r="C138" i="26" s="1"/>
  <c r="B166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D152" i="3"/>
  <c r="C85" i="26" s="1"/>
  <c r="B152" i="3"/>
  <c r="F151" i="3"/>
  <c r="D151" i="3"/>
  <c r="C81" i="26" s="1"/>
  <c r="B151" i="3"/>
  <c r="F150" i="3"/>
  <c r="D150" i="3"/>
  <c r="C77" i="26" s="1"/>
  <c r="B150" i="3"/>
  <c r="F149" i="3"/>
  <c r="D149" i="3"/>
  <c r="C73" i="26" s="1"/>
  <c r="B149" i="3"/>
  <c r="F148" i="3"/>
  <c r="D148" i="3"/>
  <c r="C69" i="26" s="1"/>
  <c r="B148" i="3"/>
  <c r="G147" i="3"/>
  <c r="F147" i="3"/>
  <c r="D147" i="3"/>
  <c r="C65" i="26" s="1"/>
  <c r="B147" i="3"/>
  <c r="F146" i="3"/>
  <c r="B146" i="3"/>
  <c r="F145" i="3"/>
  <c r="D145" i="3"/>
  <c r="C57" i="26" s="1"/>
  <c r="B145" i="3"/>
  <c r="F144" i="3"/>
  <c r="D144" i="3"/>
  <c r="C53" i="26" s="1"/>
  <c r="B144" i="3"/>
  <c r="F142" i="3"/>
  <c r="F141" i="3"/>
  <c r="F140" i="3"/>
  <c r="F139" i="3"/>
  <c r="F138" i="3"/>
  <c r="F137" i="3"/>
  <c r="F136" i="3"/>
  <c r="F135" i="3"/>
  <c r="F134" i="3"/>
  <c r="B475" i="26" l="1"/>
  <c r="B459" i="26"/>
  <c r="B443" i="26"/>
  <c r="G223" i="3"/>
  <c r="G210" i="3"/>
  <c r="F21" i="3" l="1"/>
  <c r="B34" i="5"/>
  <c r="M74" i="3"/>
  <c r="M674" i="16"/>
  <c r="M673" i="16"/>
  <c r="M672" i="16"/>
  <c r="M671" i="16"/>
  <c r="M670" i="16"/>
  <c r="M669" i="16"/>
  <c r="M662" i="16"/>
  <c r="M661" i="16"/>
  <c r="M660" i="16"/>
  <c r="M653" i="16"/>
  <c r="M652" i="16"/>
  <c r="M651" i="16"/>
  <c r="M644" i="16"/>
  <c r="M643" i="16"/>
  <c r="M642" i="16"/>
  <c r="M635" i="16"/>
  <c r="M634" i="16"/>
  <c r="M633" i="16"/>
  <c r="M626" i="16"/>
  <c r="M625" i="16"/>
  <c r="M624" i="16"/>
  <c r="M617" i="16"/>
  <c r="M616" i="16"/>
  <c r="M615" i="16"/>
  <c r="M607" i="16"/>
  <c r="M603" i="16"/>
  <c r="M591" i="16"/>
  <c r="M590" i="16"/>
  <c r="M589" i="16"/>
  <c r="M588" i="16"/>
  <c r="M587" i="16"/>
  <c r="M573" i="16"/>
  <c r="M572" i="16"/>
  <c r="M571" i="16"/>
  <c r="M570" i="16"/>
  <c r="M562" i="16"/>
  <c r="M561" i="16"/>
  <c r="M548" i="16"/>
  <c r="M547" i="16"/>
  <c r="M546" i="16"/>
  <c r="M545" i="16"/>
  <c r="M536" i="16"/>
  <c r="M535" i="16"/>
  <c r="M534" i="16"/>
  <c r="M527" i="16"/>
  <c r="M525" i="16"/>
  <c r="M518" i="16"/>
  <c r="M517" i="16"/>
  <c r="M516" i="16"/>
  <c r="M509" i="16"/>
  <c r="M508" i="16"/>
  <c r="M507" i="16"/>
  <c r="M503" i="16"/>
  <c r="M502" i="16"/>
  <c r="M497" i="16"/>
  <c r="M490" i="16"/>
  <c r="M489" i="16"/>
  <c r="M488" i="16"/>
  <c r="M487" i="16"/>
  <c r="M486" i="16"/>
  <c r="M485" i="16"/>
  <c r="M481" i="16"/>
  <c r="M480" i="16"/>
  <c r="M471" i="16"/>
  <c r="M470" i="16"/>
  <c r="M469" i="16"/>
  <c r="M468" i="16"/>
  <c r="M461" i="16"/>
  <c r="M460" i="16"/>
  <c r="M459" i="16"/>
  <c r="M456" i="16"/>
  <c r="M455" i="16"/>
  <c r="M454" i="16"/>
  <c r="M449" i="16"/>
  <c r="M400" i="16"/>
  <c r="M399" i="16"/>
  <c r="M398" i="16"/>
  <c r="M397" i="16"/>
  <c r="M408" i="16"/>
  <c r="M407" i="16"/>
  <c r="M416" i="16"/>
  <c r="M415" i="16"/>
  <c r="M426" i="16"/>
  <c r="M425" i="16"/>
  <c r="M424" i="16"/>
  <c r="M423" i="16"/>
  <c r="M440" i="16"/>
  <c r="M439" i="16"/>
  <c r="M438" i="16"/>
  <c r="M437" i="16"/>
  <c r="M434" i="16"/>
  <c r="M56" i="16"/>
  <c r="M55" i="16"/>
  <c r="M43" i="16"/>
  <c r="M42" i="16"/>
  <c r="M40" i="16"/>
  <c r="M28" i="16"/>
  <c r="M27" i="16"/>
  <c r="M26" i="16"/>
  <c r="M25" i="16"/>
  <c r="M24" i="16"/>
  <c r="M23" i="16"/>
  <c r="A45" i="14"/>
  <c r="B45" i="14"/>
  <c r="F99" i="11"/>
  <c r="G154" i="13"/>
  <c r="F313" i="3"/>
  <c r="B59" i="34"/>
  <c r="C59" i="34"/>
  <c r="K41" i="16"/>
  <c r="M41" i="16" s="1"/>
  <c r="C164" i="36"/>
  <c r="C156" i="36"/>
  <c r="J148" i="36"/>
  <c r="C69" i="36"/>
  <c r="F78" i="36"/>
  <c r="C80" i="36" s="1"/>
  <c r="F89" i="36"/>
  <c r="F88" i="36"/>
  <c r="E88" i="36"/>
  <c r="F77" i="36"/>
  <c r="E77" i="36"/>
  <c r="E67" i="36"/>
  <c r="E61" i="36"/>
  <c r="G61" i="36"/>
  <c r="C46" i="36"/>
  <c r="E46" i="36"/>
  <c r="E51" i="36"/>
  <c r="G23" i="36"/>
  <c r="C23" i="36"/>
  <c r="C35" i="36" s="1"/>
  <c r="E23" i="36"/>
  <c r="E35" i="36" s="1"/>
  <c r="A74" i="7"/>
  <c r="B74" i="7"/>
  <c r="F46" i="3"/>
  <c r="A80" i="7"/>
  <c r="B80" i="7"/>
  <c r="F25" i="6"/>
  <c r="D25" i="6"/>
  <c r="C57" i="7"/>
  <c r="C24" i="7"/>
  <c r="F34" i="3" s="1"/>
  <c r="A22" i="7"/>
  <c r="B22" i="7"/>
  <c r="A15" i="7"/>
  <c r="B15" i="7"/>
  <c r="A14" i="7"/>
  <c r="B14" i="7"/>
  <c r="F18" i="7"/>
  <c r="M675" i="16" l="1"/>
  <c r="M663" i="16"/>
  <c r="M654" i="16"/>
  <c r="M645" i="16"/>
  <c r="M636" i="16"/>
  <c r="M627" i="16"/>
  <c r="M618" i="16"/>
  <c r="M574" i="16"/>
  <c r="M519" i="16"/>
  <c r="M537" i="16"/>
  <c r="M427" i="16"/>
  <c r="M417" i="16"/>
  <c r="M409" i="16"/>
  <c r="M401" i="16"/>
  <c r="M29" i="16"/>
  <c r="G46" i="36"/>
  <c r="G35" i="36"/>
  <c r="I23" i="36"/>
  <c r="F47" i="3"/>
  <c r="C20" i="7"/>
  <c r="F33" i="3" s="1"/>
  <c r="G27" i="35" l="1"/>
  <c r="G26" i="35"/>
  <c r="F406" i="3"/>
  <c r="F392" i="3"/>
  <c r="A52" i="28"/>
  <c r="B52" i="28"/>
  <c r="C25" i="28"/>
  <c r="C21" i="28"/>
  <c r="M695" i="16"/>
  <c r="M694" i="16"/>
  <c r="M693" i="16"/>
  <c r="M692" i="16"/>
  <c r="M691" i="16"/>
  <c r="M690" i="16"/>
  <c r="A687" i="16"/>
  <c r="A420" i="16"/>
  <c r="A394" i="16"/>
  <c r="A531" i="16"/>
  <c r="K526" i="16"/>
  <c r="M526" i="16" s="1"/>
  <c r="M528" i="16" s="1"/>
  <c r="A522" i="16"/>
  <c r="A513" i="16"/>
  <c r="K506" i="16"/>
  <c r="M506" i="16" s="1"/>
  <c r="K505" i="16"/>
  <c r="M505" i="16" s="1"/>
  <c r="K504" i="16"/>
  <c r="M504" i="16" s="1"/>
  <c r="K499" i="16"/>
  <c r="K498" i="16"/>
  <c r="M498" i="16" s="1"/>
  <c r="A494" i="16"/>
  <c r="K484" i="16"/>
  <c r="M484" i="16" s="1"/>
  <c r="K483" i="16"/>
  <c r="M483" i="16" s="1"/>
  <c r="K482" i="16"/>
  <c r="M482" i="16" s="1"/>
  <c r="A477" i="16"/>
  <c r="K473" i="16"/>
  <c r="M473" i="16" s="1"/>
  <c r="K472" i="16"/>
  <c r="M472" i="16" s="1"/>
  <c r="A465" i="16"/>
  <c r="K442" i="16"/>
  <c r="M442" i="16" s="1"/>
  <c r="K441" i="16"/>
  <c r="M441" i="16" s="1"/>
  <c r="K436" i="16"/>
  <c r="M436" i="16" s="1"/>
  <c r="K435" i="16"/>
  <c r="M435" i="16" s="1"/>
  <c r="K433" i="16"/>
  <c r="M433" i="16" s="1"/>
  <c r="A430" i="16"/>
  <c r="K458" i="16"/>
  <c r="M458" i="16" s="1"/>
  <c r="K457" i="16"/>
  <c r="M457" i="16" s="1"/>
  <c r="K450" i="16"/>
  <c r="A446" i="16"/>
  <c r="A15" i="29"/>
  <c r="B15" i="29"/>
  <c r="C26" i="29"/>
  <c r="A28" i="29"/>
  <c r="B28" i="29"/>
  <c r="C37" i="29"/>
  <c r="C42" i="29" s="1"/>
  <c r="A39" i="29"/>
  <c r="B39" i="29"/>
  <c r="A44" i="29"/>
  <c r="B44" i="29"/>
  <c r="A48" i="29"/>
  <c r="B48" i="29"/>
  <c r="B52" i="29"/>
  <c r="B53" i="29"/>
  <c r="C57" i="29"/>
  <c r="F414" i="3" s="1"/>
  <c r="A59" i="29"/>
  <c r="B59" i="29"/>
  <c r="C68" i="29"/>
  <c r="A70" i="29"/>
  <c r="B70" i="29"/>
  <c r="C80" i="29"/>
  <c r="A82" i="29"/>
  <c r="C89" i="29"/>
  <c r="A91" i="29"/>
  <c r="C96" i="29"/>
  <c r="F418" i="3" s="1"/>
  <c r="A98" i="29"/>
  <c r="G101" i="29"/>
  <c r="G102" i="29"/>
  <c r="C106" i="29" s="1"/>
  <c r="F419" i="3" s="1"/>
  <c r="G103" i="29"/>
  <c r="G104" i="29"/>
  <c r="A108" i="29"/>
  <c r="C114" i="29"/>
  <c r="A116" i="29"/>
  <c r="C121" i="29"/>
  <c r="A123" i="29"/>
  <c r="B123" i="29"/>
  <c r="A128" i="29"/>
  <c r="B128" i="29"/>
  <c r="C135" i="29"/>
  <c r="A137" i="29"/>
  <c r="B137" i="29"/>
  <c r="C143" i="29"/>
  <c r="A145" i="29"/>
  <c r="B145" i="29"/>
  <c r="A150" i="29"/>
  <c r="B150" i="29"/>
  <c r="C163" i="29"/>
  <c r="A165" i="29"/>
  <c r="A170" i="29"/>
  <c r="B170" i="29"/>
  <c r="C178" i="29"/>
  <c r="F428" i="3" s="1"/>
  <c r="A180" i="29"/>
  <c r="B180" i="29"/>
  <c r="C186" i="29"/>
  <c r="A188" i="29"/>
  <c r="B188" i="29"/>
  <c r="A193" i="29"/>
  <c r="B193" i="29"/>
  <c r="C199" i="29"/>
  <c r="C204" i="29" s="1"/>
  <c r="F432" i="3" s="1"/>
  <c r="A201" i="29"/>
  <c r="B201" i="29"/>
  <c r="A206" i="29"/>
  <c r="C217" i="29"/>
  <c r="A219" i="29"/>
  <c r="A224" i="29"/>
  <c r="B224" i="29"/>
  <c r="C227" i="29"/>
  <c r="G227" i="29"/>
  <c r="C232" i="29" s="1"/>
  <c r="F435" i="3" s="1"/>
  <c r="C228" i="29"/>
  <c r="G228" i="29"/>
  <c r="C229" i="29"/>
  <c r="C230" i="29" s="1"/>
  <c r="G230" i="29" s="1"/>
  <c r="G229" i="29"/>
  <c r="B15" i="27"/>
  <c r="C15" i="27"/>
  <c r="B16" i="27"/>
  <c r="C16" i="27"/>
  <c r="B22" i="27"/>
  <c r="C22" i="27"/>
  <c r="B28" i="27"/>
  <c r="C28" i="27"/>
  <c r="B33" i="27"/>
  <c r="C33" i="27"/>
  <c r="B38" i="27"/>
  <c r="C38" i="27"/>
  <c r="B42" i="27"/>
  <c r="C42" i="27"/>
  <c r="B47" i="27"/>
  <c r="C47" i="27"/>
  <c r="B51" i="27"/>
  <c r="C51" i="27"/>
  <c r="B55" i="27"/>
  <c r="C55" i="27"/>
  <c r="B59" i="27"/>
  <c r="C59" i="27"/>
  <c r="B63" i="27"/>
  <c r="C63" i="27"/>
  <c r="B67" i="27"/>
  <c r="C67" i="27"/>
  <c r="B68" i="27"/>
  <c r="C68" i="27"/>
  <c r="B72" i="27"/>
  <c r="C72" i="27"/>
  <c r="B77" i="27"/>
  <c r="C77" i="27"/>
  <c r="B81" i="27"/>
  <c r="C81" i="27"/>
  <c r="B85" i="27"/>
  <c r="C85" i="27"/>
  <c r="B89" i="27"/>
  <c r="C89" i="27"/>
  <c r="B93" i="27"/>
  <c r="C93" i="27"/>
  <c r="B97" i="27"/>
  <c r="C97" i="27"/>
  <c r="B101" i="27"/>
  <c r="C101" i="27"/>
  <c r="B105" i="27"/>
  <c r="B109" i="27"/>
  <c r="C109" i="27"/>
  <c r="B110" i="27"/>
  <c r="C110" i="27"/>
  <c r="B114" i="27"/>
  <c r="B118" i="27"/>
  <c r="C118" i="27"/>
  <c r="D120" i="27"/>
  <c r="F343" i="3" s="1"/>
  <c r="B122" i="27"/>
  <c r="C122" i="27"/>
  <c r="B126" i="27"/>
  <c r="C126" i="27"/>
  <c r="B130" i="27"/>
  <c r="C130" i="27"/>
  <c r="D139" i="27"/>
  <c r="C144" i="27" s="1"/>
  <c r="H144" i="27" s="1"/>
  <c r="D146" i="27" s="1"/>
  <c r="F347" i="3" s="1"/>
  <c r="B141" i="27"/>
  <c r="C141" i="27"/>
  <c r="E144" i="27"/>
  <c r="B148" i="27"/>
  <c r="C148" i="27"/>
  <c r="C151" i="27"/>
  <c r="H151" i="27"/>
  <c r="D153" i="27" s="1"/>
  <c r="F348" i="3" s="1"/>
  <c r="B155" i="27"/>
  <c r="C155" i="27"/>
  <c r="C158" i="27"/>
  <c r="H158" i="27" s="1"/>
  <c r="D160" i="27" s="1"/>
  <c r="F349" i="3" s="1"/>
  <c r="B162" i="27"/>
  <c r="C162" i="27"/>
  <c r="B166" i="27"/>
  <c r="C166" i="27"/>
  <c r="B167" i="27"/>
  <c r="C167" i="27"/>
  <c r="B171" i="27"/>
  <c r="C171" i="27"/>
  <c r="B175" i="27"/>
  <c r="C175" i="27"/>
  <c r="B179" i="27"/>
  <c r="C179" i="27"/>
  <c r="B183" i="27"/>
  <c r="C183" i="27"/>
  <c r="B187" i="27"/>
  <c r="C187" i="27"/>
  <c r="B191" i="27"/>
  <c r="C191" i="27"/>
  <c r="B195" i="27"/>
  <c r="C195" i="27"/>
  <c r="B200" i="27"/>
  <c r="C200" i="27"/>
  <c r="B204" i="27"/>
  <c r="C204" i="27"/>
  <c r="B208" i="27"/>
  <c r="C208" i="27"/>
  <c r="B212" i="27"/>
  <c r="C212" i="27"/>
  <c r="B216" i="27"/>
  <c r="C216" i="27"/>
  <c r="B220" i="27"/>
  <c r="C220" i="27"/>
  <c r="B224" i="27"/>
  <c r="C224" i="27"/>
  <c r="B228" i="27"/>
  <c r="C228" i="27"/>
  <c r="B232" i="27"/>
  <c r="C232" i="27"/>
  <c r="B236" i="27"/>
  <c r="C236" i="27"/>
  <c r="B240" i="27"/>
  <c r="C240" i="27"/>
  <c r="B244" i="27"/>
  <c r="B248" i="27"/>
  <c r="C248" i="27"/>
  <c r="B249" i="27"/>
  <c r="B254" i="27"/>
  <c r="C254" i="27"/>
  <c r="B259" i="27"/>
  <c r="C259" i="27"/>
  <c r="D268" i="27"/>
  <c r="B270" i="27"/>
  <c r="C270" i="27"/>
  <c r="B275" i="27"/>
  <c r="B279" i="27"/>
  <c r="B283" i="27"/>
  <c r="F410" i="3"/>
  <c r="F411" i="3"/>
  <c r="F413" i="3"/>
  <c r="F415" i="3"/>
  <c r="F416" i="3"/>
  <c r="B417" i="3"/>
  <c r="D417" i="3"/>
  <c r="B82" i="29" s="1"/>
  <c r="F417" i="3"/>
  <c r="B418" i="3"/>
  <c r="D418" i="3"/>
  <c r="B91" i="29" s="1"/>
  <c r="B419" i="3"/>
  <c r="D419" i="3"/>
  <c r="B98" i="29" s="1"/>
  <c r="B420" i="3"/>
  <c r="D420" i="3"/>
  <c r="B108" i="29" s="1"/>
  <c r="F420" i="3"/>
  <c r="B421" i="3"/>
  <c r="D421" i="3"/>
  <c r="B116" i="29" s="1"/>
  <c r="F421" i="3"/>
  <c r="F422" i="3"/>
  <c r="F423" i="3"/>
  <c r="F424" i="3"/>
  <c r="F426" i="3"/>
  <c r="B427" i="3"/>
  <c r="D427" i="3"/>
  <c r="B165" i="29" s="1"/>
  <c r="F427" i="3"/>
  <c r="F429" i="3"/>
  <c r="F430" i="3"/>
  <c r="F431" i="3"/>
  <c r="B433" i="3"/>
  <c r="D433" i="3"/>
  <c r="B206" i="29" s="1"/>
  <c r="F433" i="3"/>
  <c r="B434" i="3"/>
  <c r="D434" i="3"/>
  <c r="B219" i="29" s="1"/>
  <c r="F434" i="3"/>
  <c r="F379" i="3"/>
  <c r="F378" i="3"/>
  <c r="F377" i="3"/>
  <c r="F376" i="3"/>
  <c r="F375" i="3"/>
  <c r="F374" i="3"/>
  <c r="F373" i="3"/>
  <c r="F371" i="3"/>
  <c r="D371" i="3"/>
  <c r="C244" i="27" s="1"/>
  <c r="B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46" i="3"/>
  <c r="F345" i="3"/>
  <c r="F344" i="3"/>
  <c r="F342" i="3"/>
  <c r="D342" i="3"/>
  <c r="C114" i="27" s="1"/>
  <c r="B342" i="3"/>
  <c r="F341" i="3"/>
  <c r="F339" i="3"/>
  <c r="D339" i="3"/>
  <c r="C105" i="27" s="1"/>
  <c r="B339" i="3"/>
  <c r="F338" i="3"/>
  <c r="F337" i="3"/>
  <c r="F336" i="3"/>
  <c r="F335" i="3"/>
  <c r="F334" i="3"/>
  <c r="F333" i="3"/>
  <c r="F332" i="3"/>
  <c r="F331" i="3"/>
  <c r="F330" i="3"/>
  <c r="F328" i="3"/>
  <c r="F327" i="3"/>
  <c r="F326" i="3"/>
  <c r="F325" i="3"/>
  <c r="F324" i="3"/>
  <c r="F323" i="3"/>
  <c r="F322" i="3"/>
  <c r="F321" i="3"/>
  <c r="F320" i="3"/>
  <c r="F319" i="3"/>
  <c r="F318" i="3"/>
  <c r="M696" i="16" l="1"/>
  <c r="M474" i="16"/>
  <c r="M491" i="16"/>
  <c r="M443" i="16"/>
  <c r="K451" i="16"/>
  <c r="M451" i="16" s="1"/>
  <c r="M450" i="16"/>
  <c r="K500" i="16"/>
  <c r="M499" i="16"/>
  <c r="F412" i="3"/>
  <c r="C148" i="29"/>
  <c r="F425" i="3" s="1"/>
  <c r="D164" i="27"/>
  <c r="F350" i="3" s="1"/>
  <c r="K452" i="16" l="1"/>
  <c r="M452" i="16" s="1"/>
  <c r="K501" i="16"/>
  <c r="M501" i="16" s="1"/>
  <c r="M500" i="16"/>
  <c r="K453" i="16"/>
  <c r="M453" i="16" s="1"/>
  <c r="M510" i="16" l="1"/>
  <c r="M462" i="16"/>
  <c r="G418" i="3"/>
  <c r="G371" i="3" l="1"/>
  <c r="G419" i="3" l="1"/>
  <c r="G420" i="3"/>
  <c r="G434" i="3"/>
  <c r="G427" i="3"/>
  <c r="G342" i="3"/>
  <c r="G417" i="3"/>
  <c r="G339" i="3"/>
  <c r="G433" i="3"/>
  <c r="G421" i="3" l="1"/>
  <c r="O377" i="3" l="1"/>
  <c r="K836" i="16" l="1"/>
  <c r="E482" i="3"/>
  <c r="D482" i="3"/>
  <c r="B482" i="3"/>
  <c r="A856" i="16"/>
  <c r="M861" i="16"/>
  <c r="M860" i="16"/>
  <c r="M859" i="16"/>
  <c r="B101" i="12"/>
  <c r="C101" i="12"/>
  <c r="E101" i="12"/>
  <c r="G101" i="12"/>
  <c r="B102" i="12"/>
  <c r="C102" i="12"/>
  <c r="E102" i="12"/>
  <c r="G102" i="12"/>
  <c r="B103" i="12"/>
  <c r="C103" i="12"/>
  <c r="E103" i="12"/>
  <c r="G103" i="12"/>
  <c r="B100" i="12"/>
  <c r="C100" i="12"/>
  <c r="E100" i="12"/>
  <c r="G100" i="12"/>
  <c r="B90" i="12"/>
  <c r="C90" i="12"/>
  <c r="G90" i="12"/>
  <c r="C91" i="12"/>
  <c r="G91" i="12"/>
  <c r="B92" i="12"/>
  <c r="E92" i="12"/>
  <c r="G92" i="12"/>
  <c r="E93" i="12"/>
  <c r="G93" i="12"/>
  <c r="B94" i="12"/>
  <c r="E94" i="12"/>
  <c r="G94" i="12"/>
  <c r="B95" i="12"/>
  <c r="C95" i="12"/>
  <c r="E95" i="12"/>
  <c r="G95" i="12"/>
  <c r="E96" i="12"/>
  <c r="G96" i="12"/>
  <c r="B97" i="12"/>
  <c r="C97" i="12"/>
  <c r="E97" i="12"/>
  <c r="G97" i="12"/>
  <c r="C98" i="12"/>
  <c r="E98" i="12"/>
  <c r="G98" i="12"/>
  <c r="B99" i="12"/>
  <c r="C99" i="12"/>
  <c r="E99" i="12"/>
  <c r="G99" i="12"/>
  <c r="B127" i="11"/>
  <c r="D127" i="11"/>
  <c r="F127" i="11"/>
  <c r="H127" i="11"/>
  <c r="H126" i="11"/>
  <c r="F126" i="11"/>
  <c r="D126" i="11"/>
  <c r="B126" i="11"/>
  <c r="J80" i="11"/>
  <c r="J82" i="11"/>
  <c r="J83" i="11"/>
  <c r="J84" i="11"/>
  <c r="J85" i="11"/>
  <c r="J86" i="11"/>
  <c r="J87" i="11"/>
  <c r="J88" i="11"/>
  <c r="D81" i="11"/>
  <c r="J81" i="11" s="1"/>
  <c r="D79" i="11"/>
  <c r="J79" i="11" s="1"/>
  <c r="D78" i="11"/>
  <c r="J78" i="11" s="1"/>
  <c r="D77" i="11"/>
  <c r="J77" i="11" s="1"/>
  <c r="F76" i="11"/>
  <c r="J76" i="11" s="1"/>
  <c r="F75" i="11"/>
  <c r="E90" i="12" s="1"/>
  <c r="D75" i="11"/>
  <c r="H64" i="12"/>
  <c r="H62" i="12"/>
  <c r="D21" i="12"/>
  <c r="E21" i="12"/>
  <c r="B20" i="12"/>
  <c r="D20" i="12"/>
  <c r="B22" i="12"/>
  <c r="D22" i="12"/>
  <c r="E22" i="12"/>
  <c r="B23" i="12"/>
  <c r="D23" i="12"/>
  <c r="B24" i="12"/>
  <c r="D24" i="12"/>
  <c r="E24" i="12"/>
  <c r="B25" i="12"/>
  <c r="C25" i="12"/>
  <c r="D25" i="12"/>
  <c r="E25" i="12"/>
  <c r="B26" i="12"/>
  <c r="B119" i="12" s="1"/>
  <c r="D26" i="12"/>
  <c r="D119" i="12" s="1"/>
  <c r="E26" i="12"/>
  <c r="E119" i="12" s="1"/>
  <c r="C27" i="12"/>
  <c r="C120" i="12" s="1"/>
  <c r="D27" i="12"/>
  <c r="D120" i="12" s="1"/>
  <c r="E27" i="12"/>
  <c r="E120" i="12" s="1"/>
  <c r="B28" i="12"/>
  <c r="B121" i="12" s="1"/>
  <c r="D28" i="12"/>
  <c r="D121" i="12" s="1"/>
  <c r="E28" i="12"/>
  <c r="E121" i="12" s="1"/>
  <c r="B29" i="12"/>
  <c r="B122" i="12" s="1"/>
  <c r="D29" i="12"/>
  <c r="D122" i="12" s="1"/>
  <c r="E29" i="12"/>
  <c r="E122" i="12" s="1"/>
  <c r="B30" i="12"/>
  <c r="B123" i="12" s="1"/>
  <c r="D30" i="12"/>
  <c r="D123" i="12" s="1"/>
  <c r="E30" i="12"/>
  <c r="E123" i="12" s="1"/>
  <c r="B31" i="12"/>
  <c r="C31" i="12"/>
  <c r="D31" i="12"/>
  <c r="E31" i="12"/>
  <c r="B32" i="12"/>
  <c r="B124" i="12" s="1"/>
  <c r="D32" i="12"/>
  <c r="D124" i="12" s="1"/>
  <c r="E32" i="12"/>
  <c r="E124" i="12" s="1"/>
  <c r="B33" i="12"/>
  <c r="D33" i="12"/>
  <c r="E33" i="12"/>
  <c r="B34" i="12"/>
  <c r="D34" i="12"/>
  <c r="D35" i="12"/>
  <c r="E35" i="12"/>
  <c r="B36" i="12"/>
  <c r="D36" i="12"/>
  <c r="E36" i="12"/>
  <c r="B37" i="12"/>
  <c r="C37" i="12"/>
  <c r="D37" i="12"/>
  <c r="E37" i="12"/>
  <c r="B38" i="12"/>
  <c r="C38" i="12"/>
  <c r="D38" i="12"/>
  <c r="E38" i="12"/>
  <c r="B39" i="12"/>
  <c r="C39" i="12"/>
  <c r="D39" i="12"/>
  <c r="E39" i="12"/>
  <c r="B40" i="12"/>
  <c r="D40" i="12"/>
  <c r="B41" i="12"/>
  <c r="D41" i="12"/>
  <c r="B42" i="12"/>
  <c r="D42" i="12"/>
  <c r="B43" i="12"/>
  <c r="B125" i="12" s="1"/>
  <c r="D43" i="12"/>
  <c r="D125" i="12" s="1"/>
  <c r="B44" i="12"/>
  <c r="B126" i="12" s="1"/>
  <c r="D44" i="12"/>
  <c r="D126" i="12" s="1"/>
  <c r="B45" i="12"/>
  <c r="B127" i="12" s="1"/>
  <c r="D45" i="12"/>
  <c r="D127" i="12" s="1"/>
  <c r="B46" i="12"/>
  <c r="D46" i="12"/>
  <c r="B47" i="12"/>
  <c r="D47" i="12"/>
  <c r="B48" i="12"/>
  <c r="D48" i="12"/>
  <c r="B49" i="12"/>
  <c r="C49" i="12"/>
  <c r="D49" i="12"/>
  <c r="B50" i="12"/>
  <c r="C50" i="12"/>
  <c r="D50" i="12"/>
  <c r="E50" i="12"/>
  <c r="B51" i="12"/>
  <c r="D51" i="12"/>
  <c r="E51" i="12"/>
  <c r="B52" i="12"/>
  <c r="D52" i="12"/>
  <c r="E52" i="12"/>
  <c r="B53" i="12"/>
  <c r="D53" i="12"/>
  <c r="E53" i="12"/>
  <c r="B54" i="12"/>
  <c r="D54" i="12"/>
  <c r="E54" i="12"/>
  <c r="B55" i="12"/>
  <c r="C55" i="12"/>
  <c r="D55" i="12"/>
  <c r="E55" i="12"/>
  <c r="B56" i="12"/>
  <c r="D56" i="12"/>
  <c r="E56" i="12"/>
  <c r="C20" i="11"/>
  <c r="G20" i="11" s="1"/>
  <c r="E19" i="11"/>
  <c r="E20" i="12" s="1"/>
  <c r="E33" i="11"/>
  <c r="E34" i="12" s="1"/>
  <c r="F94" i="11"/>
  <c r="F62" i="12" s="1"/>
  <c r="F123" i="11"/>
  <c r="F124" i="11"/>
  <c r="F96" i="11"/>
  <c r="F97" i="11" s="1"/>
  <c r="F98" i="11" s="1"/>
  <c r="H74" i="11"/>
  <c r="G89" i="12" s="1"/>
  <c r="F74" i="11"/>
  <c r="E89" i="12" s="1"/>
  <c r="D74" i="11"/>
  <c r="C89" i="12" s="1"/>
  <c r="B74" i="11"/>
  <c r="B89" i="12" s="1"/>
  <c r="B117" i="11"/>
  <c r="C34" i="11"/>
  <c r="C35" i="12" s="1"/>
  <c r="C253" i="10"/>
  <c r="C254" i="10"/>
  <c r="C258" i="10"/>
  <c r="C259" i="10"/>
  <c r="C260" i="10"/>
  <c r="C267" i="10"/>
  <c r="C268" i="10"/>
  <c r="C273" i="10"/>
  <c r="C288" i="10"/>
  <c r="B288" i="10"/>
  <c r="K544" i="16"/>
  <c r="M544" i="16" s="1"/>
  <c r="F95" i="11"/>
  <c r="F63" i="12" s="1"/>
  <c r="E128" i="13"/>
  <c r="G254" i="13"/>
  <c r="G135" i="13" s="1"/>
  <c r="C254" i="13"/>
  <c r="C135" i="13" s="1"/>
  <c r="B254" i="13"/>
  <c r="B135" i="13" s="1"/>
  <c r="B102" i="11" s="1"/>
  <c r="B70" i="12" s="1"/>
  <c r="E247" i="13"/>
  <c r="E248" i="13" s="1"/>
  <c r="E249" i="13" s="1"/>
  <c r="E250" i="13" s="1"/>
  <c r="E251" i="13" s="1"/>
  <c r="E252" i="13" s="1"/>
  <c r="E253" i="13" s="1"/>
  <c r="E254" i="13" s="1"/>
  <c r="G253" i="13"/>
  <c r="G134" i="13" s="1"/>
  <c r="G252" i="13"/>
  <c r="G133" i="13" s="1"/>
  <c r="G251" i="13"/>
  <c r="G132" i="13" s="1"/>
  <c r="G250" i="13"/>
  <c r="G131" i="13" s="1"/>
  <c r="G249" i="13"/>
  <c r="G130" i="13" s="1"/>
  <c r="G248" i="13"/>
  <c r="G129" i="13" s="1"/>
  <c r="G247" i="13"/>
  <c r="G128" i="13" s="1"/>
  <c r="G246" i="13"/>
  <c r="G127" i="13" s="1"/>
  <c r="B248" i="13"/>
  <c r="B129" i="13" s="1"/>
  <c r="B124" i="11" s="1"/>
  <c r="B253" i="13"/>
  <c r="B134" i="13" s="1"/>
  <c r="B101" i="11" s="1"/>
  <c r="B69" i="12" s="1"/>
  <c r="B252" i="13"/>
  <c r="B133" i="13" s="1"/>
  <c r="B100" i="11" s="1"/>
  <c r="B68" i="12" s="1"/>
  <c r="B249" i="13"/>
  <c r="B130" i="13" s="1"/>
  <c r="B97" i="11" s="1"/>
  <c r="B65" i="12" s="1"/>
  <c r="B251" i="13"/>
  <c r="B132" i="13" s="1"/>
  <c r="B250" i="13"/>
  <c r="B131" i="13" s="1"/>
  <c r="B98" i="11" s="1"/>
  <c r="B66" i="12" s="1"/>
  <c r="C165" i="13"/>
  <c r="I165" i="13" s="1"/>
  <c r="B247" i="13"/>
  <c r="B128" i="13" s="1"/>
  <c r="B95" i="11" s="1"/>
  <c r="B63" i="12" s="1"/>
  <c r="B246" i="13"/>
  <c r="B127" i="13" s="1"/>
  <c r="B94" i="11" s="1"/>
  <c r="B62" i="12" s="1"/>
  <c r="C208" i="13"/>
  <c r="C217" i="13"/>
  <c r="B115" i="3"/>
  <c r="D115" i="3"/>
  <c r="A79" i="16"/>
  <c r="M82" i="16"/>
  <c r="K83" i="16"/>
  <c r="M83" i="16" s="1"/>
  <c r="M84" i="16"/>
  <c r="M85" i="16"/>
  <c r="M86" i="16"/>
  <c r="B73" i="11"/>
  <c r="B88" i="12" s="1"/>
  <c r="D73" i="11"/>
  <c r="C88" i="12" s="1"/>
  <c r="H73" i="11"/>
  <c r="G88" i="12" s="1"/>
  <c r="I206" i="13"/>
  <c r="E32" i="13"/>
  <c r="E33" i="13" s="1"/>
  <c r="I33" i="13"/>
  <c r="G85" i="13" s="1"/>
  <c r="I34" i="13"/>
  <c r="G86" i="13" s="1"/>
  <c r="I32" i="13"/>
  <c r="G84" i="13" s="1"/>
  <c r="C34" i="13"/>
  <c r="C86" i="13" s="1"/>
  <c r="C33" i="13"/>
  <c r="C85" i="13" s="1"/>
  <c r="C32" i="13"/>
  <c r="C84" i="13" s="1"/>
  <c r="B33" i="13"/>
  <c r="B85" i="13" s="1"/>
  <c r="B34" i="13"/>
  <c r="B86" i="13" s="1"/>
  <c r="B32" i="13"/>
  <c r="B84" i="13" s="1"/>
  <c r="E83" i="13"/>
  <c r="E84" i="13" s="1"/>
  <c r="E85" i="13" s="1"/>
  <c r="G20" i="13"/>
  <c r="E42" i="13"/>
  <c r="E43" i="13" s="1"/>
  <c r="I41" i="13"/>
  <c r="C112" i="13"/>
  <c r="C110" i="13"/>
  <c r="C109" i="13"/>
  <c r="C108" i="13"/>
  <c r="E107" i="13"/>
  <c r="C106" i="13"/>
  <c r="E106" i="13"/>
  <c r="B38" i="13"/>
  <c r="A38" i="13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49" i="10"/>
  <c r="E39" i="11"/>
  <c r="E40" i="12" s="1"/>
  <c r="C47" i="11"/>
  <c r="C48" i="12" s="1"/>
  <c r="C46" i="11"/>
  <c r="C47" i="12" s="1"/>
  <c r="C45" i="11"/>
  <c r="C264" i="10" s="1"/>
  <c r="C44" i="11"/>
  <c r="C45" i="12" s="1"/>
  <c r="C43" i="11"/>
  <c r="C44" i="12" s="1"/>
  <c r="C42" i="11"/>
  <c r="C43" i="12" s="1"/>
  <c r="C41" i="11"/>
  <c r="C263" i="10" s="1"/>
  <c r="C40" i="11"/>
  <c r="C262" i="10" s="1"/>
  <c r="C39" i="11"/>
  <c r="C40" i="12" s="1"/>
  <c r="G38" i="11"/>
  <c r="G37" i="11"/>
  <c r="C35" i="11"/>
  <c r="C36" i="12" s="1"/>
  <c r="C33" i="11"/>
  <c r="C34" i="12" s="1"/>
  <c r="C32" i="11"/>
  <c r="C255" i="10" s="1"/>
  <c r="C31" i="11"/>
  <c r="C32" i="12" s="1"/>
  <c r="C29" i="11"/>
  <c r="C30" i="12" s="1"/>
  <c r="C28" i="11"/>
  <c r="C29" i="12" s="1"/>
  <c r="C27" i="11"/>
  <c r="C28" i="12" s="1"/>
  <c r="C25" i="11"/>
  <c r="C26" i="12" s="1"/>
  <c r="C23" i="11"/>
  <c r="C252" i="10" s="1"/>
  <c r="C22" i="11"/>
  <c r="C23" i="12" s="1"/>
  <c r="E22" i="11"/>
  <c r="E23" i="12" s="1"/>
  <c r="C21" i="11"/>
  <c r="C22" i="12" s="1"/>
  <c r="C50" i="11"/>
  <c r="C51" i="12" s="1"/>
  <c r="C19" i="11"/>
  <c r="C249" i="10" s="1"/>
  <c r="G137" i="11"/>
  <c r="C146" i="11" s="1"/>
  <c r="A134" i="11"/>
  <c r="B134" i="11"/>
  <c r="M87" i="16" l="1"/>
  <c r="G115" i="3" s="1"/>
  <c r="B67" i="12"/>
  <c r="C92" i="12"/>
  <c r="I92" i="12" s="1"/>
  <c r="C94" i="12"/>
  <c r="I94" i="12" s="1"/>
  <c r="C96" i="12"/>
  <c r="I96" i="12" s="1"/>
  <c r="E91" i="12"/>
  <c r="F125" i="11"/>
  <c r="F100" i="11"/>
  <c r="C93" i="12"/>
  <c r="I93" i="12" s="1"/>
  <c r="J75" i="11"/>
  <c r="H100" i="11"/>
  <c r="H68" i="12" s="1"/>
  <c r="B96" i="11"/>
  <c r="B64" i="12" s="1"/>
  <c r="B123" i="11"/>
  <c r="H95" i="11"/>
  <c r="H63" i="12" s="1"/>
  <c r="J126" i="11"/>
  <c r="H97" i="11"/>
  <c r="H65" i="12" s="1"/>
  <c r="H98" i="11"/>
  <c r="H66" i="12" s="1"/>
  <c r="D102" i="11"/>
  <c r="D70" i="12" s="1"/>
  <c r="H101" i="11"/>
  <c r="H69" i="12" s="1"/>
  <c r="H102" i="11"/>
  <c r="H70" i="12" s="1"/>
  <c r="H67" i="12"/>
  <c r="M862" i="16"/>
  <c r="G482" i="3" s="1"/>
  <c r="I103" i="12"/>
  <c r="I102" i="12"/>
  <c r="I101" i="12"/>
  <c r="I99" i="12"/>
  <c r="I98" i="12"/>
  <c r="I97" i="12"/>
  <c r="I91" i="12"/>
  <c r="I90" i="12"/>
  <c r="I89" i="12"/>
  <c r="I100" i="12"/>
  <c r="I95" i="12"/>
  <c r="J127" i="11"/>
  <c r="J74" i="11"/>
  <c r="C46" i="12"/>
  <c r="C41" i="12"/>
  <c r="F64" i="12"/>
  <c r="C42" i="12"/>
  <c r="F65" i="12"/>
  <c r="F66" i="12"/>
  <c r="C33" i="12"/>
  <c r="G33" i="12" s="1"/>
  <c r="C123" i="12"/>
  <c r="C24" i="12"/>
  <c r="G24" i="12" s="1"/>
  <c r="C20" i="12"/>
  <c r="G20" i="12" s="1"/>
  <c r="C21" i="12"/>
  <c r="G21" i="12" s="1"/>
  <c r="C125" i="12"/>
  <c r="G40" i="12"/>
  <c r="G39" i="12"/>
  <c r="G38" i="12"/>
  <c r="G37" i="12"/>
  <c r="G36" i="12"/>
  <c r="G35" i="12"/>
  <c r="C126" i="12"/>
  <c r="G26" i="12"/>
  <c r="G25" i="12"/>
  <c r="G55" i="12"/>
  <c r="G51" i="12"/>
  <c r="G50" i="12"/>
  <c r="G34" i="12"/>
  <c r="G32" i="12"/>
  <c r="G31" i="12"/>
  <c r="G30" i="12"/>
  <c r="G29" i="12"/>
  <c r="G28" i="12"/>
  <c r="G23" i="12"/>
  <c r="G22" i="12"/>
  <c r="G27" i="12"/>
  <c r="C119" i="12"/>
  <c r="G119" i="12" s="1"/>
  <c r="C269" i="10"/>
  <c r="C257" i="10"/>
  <c r="G34" i="11"/>
  <c r="C265" i="10"/>
  <c r="C261" i="10"/>
  <c r="C256" i="10"/>
  <c r="C251" i="10"/>
  <c r="C266" i="10"/>
  <c r="C250" i="10"/>
  <c r="E129" i="13"/>
  <c r="E130" i="13" s="1"/>
  <c r="E131" i="13" s="1"/>
  <c r="E132" i="13" s="1"/>
  <c r="I254" i="13"/>
  <c r="I84" i="13"/>
  <c r="I85" i="13"/>
  <c r="E86" i="13"/>
  <c r="I86" i="13" s="1"/>
  <c r="E34" i="13"/>
  <c r="I42" i="13"/>
  <c r="I43" i="13"/>
  <c r="E44" i="13"/>
  <c r="C122" i="12"/>
  <c r="C121" i="12"/>
  <c r="E40" i="11"/>
  <c r="E41" i="12" s="1"/>
  <c r="C127" i="12"/>
  <c r="C124" i="12"/>
  <c r="G39" i="11"/>
  <c r="G120" i="12"/>
  <c r="J141" i="11"/>
  <c r="I143" i="11" s="1"/>
  <c r="E146" i="11" s="1"/>
  <c r="G146" i="11" s="1"/>
  <c r="F89" i="3" s="1"/>
  <c r="F101" i="11" l="1"/>
  <c r="F68" i="12"/>
  <c r="F67" i="12"/>
  <c r="G41" i="12"/>
  <c r="E133" i="13"/>
  <c r="I44" i="13"/>
  <c r="E45" i="13"/>
  <c r="E41" i="11"/>
  <c r="E42" i="12" s="1"/>
  <c r="G42" i="12" s="1"/>
  <c r="G40" i="11"/>
  <c r="F102" i="11" l="1"/>
  <c r="F70" i="12" s="1"/>
  <c r="J70" i="12" s="1"/>
  <c r="F69" i="12"/>
  <c r="E134" i="13"/>
  <c r="I45" i="13"/>
  <c r="E46" i="13"/>
  <c r="E42" i="11"/>
  <c r="E43" i="12" s="1"/>
  <c r="G43" i="12" s="1"/>
  <c r="G41" i="11"/>
  <c r="E135" i="13" l="1"/>
  <c r="E47" i="13"/>
  <c r="I46" i="13"/>
  <c r="E43" i="11"/>
  <c r="E44" i="12" s="1"/>
  <c r="G44" i="12" s="1"/>
  <c r="G42" i="11"/>
  <c r="I135" i="13" l="1"/>
  <c r="E48" i="13"/>
  <c r="I47" i="13"/>
  <c r="E44" i="11"/>
  <c r="E45" i="12" s="1"/>
  <c r="G45" i="12" s="1"/>
  <c r="G43" i="11"/>
  <c r="E125" i="12"/>
  <c r="E49" i="13" l="1"/>
  <c r="I48" i="13"/>
  <c r="E126" i="12"/>
  <c r="E45" i="11"/>
  <c r="E46" i="12" s="1"/>
  <c r="G46" i="12" s="1"/>
  <c r="G44" i="11"/>
  <c r="E50" i="13" l="1"/>
  <c r="I49" i="13"/>
  <c r="E46" i="11"/>
  <c r="E47" i="12" s="1"/>
  <c r="G47" i="12" s="1"/>
  <c r="G45" i="11"/>
  <c r="E127" i="12"/>
  <c r="E51" i="13" l="1"/>
  <c r="I50" i="13"/>
  <c r="E47" i="11"/>
  <c r="E48" i="12" s="1"/>
  <c r="G48" i="12" s="1"/>
  <c r="G46" i="11"/>
  <c r="E52" i="13" l="1"/>
  <c r="I51" i="13"/>
  <c r="E48" i="11"/>
  <c r="E49" i="12" s="1"/>
  <c r="G49" i="12" s="1"/>
  <c r="G47" i="11"/>
  <c r="E53" i="13" l="1"/>
  <c r="I52" i="13"/>
  <c r="G48" i="11"/>
  <c r="E54" i="13" l="1"/>
  <c r="F73" i="11" s="1"/>
  <c r="E88" i="12" s="1"/>
  <c r="I88" i="12" s="1"/>
  <c r="I53" i="13"/>
  <c r="C53" i="11"/>
  <c r="K79" i="14"/>
  <c r="E67" i="14"/>
  <c r="E53" i="14"/>
  <c r="C229" i="10"/>
  <c r="C224" i="10"/>
  <c r="J81" i="10"/>
  <c r="C103" i="10"/>
  <c r="B103" i="10"/>
  <c r="B101" i="10"/>
  <c r="C101" i="10"/>
  <c r="B102" i="10"/>
  <c r="C102" i="10"/>
  <c r="C100" i="10"/>
  <c r="B100" i="10"/>
  <c r="C99" i="10"/>
  <c r="C98" i="10"/>
  <c r="B99" i="10"/>
  <c r="B98" i="10"/>
  <c r="C97" i="10"/>
  <c r="C96" i="10"/>
  <c r="B97" i="10"/>
  <c r="B96" i="10"/>
  <c r="C95" i="10"/>
  <c r="B95" i="10"/>
  <c r="C93" i="10"/>
  <c r="C94" i="10"/>
  <c r="C92" i="10"/>
  <c r="B93" i="10"/>
  <c r="B94" i="10"/>
  <c r="B92" i="10"/>
  <c r="E75" i="10"/>
  <c r="E61" i="10"/>
  <c r="J47" i="10"/>
  <c r="E35" i="10"/>
  <c r="E21" i="10"/>
  <c r="J257" i="9"/>
  <c r="J256" i="9"/>
  <c r="C229" i="9"/>
  <c r="D225" i="9"/>
  <c r="E225" i="9"/>
  <c r="F225" i="9"/>
  <c r="C225" i="9"/>
  <c r="B225" i="9"/>
  <c r="D215" i="9"/>
  <c r="E215" i="9"/>
  <c r="C215" i="9"/>
  <c r="B215" i="9"/>
  <c r="D206" i="9"/>
  <c r="E206" i="9"/>
  <c r="F206" i="9"/>
  <c r="G206" i="9"/>
  <c r="H206" i="9"/>
  <c r="C206" i="9"/>
  <c r="B206" i="9"/>
  <c r="B229" i="9"/>
  <c r="J135" i="9"/>
  <c r="D130" i="9"/>
  <c r="C130" i="9"/>
  <c r="E122" i="9"/>
  <c r="D122" i="9"/>
  <c r="B133" i="9"/>
  <c r="C189" i="9"/>
  <c r="B189" i="9"/>
  <c r="I197" i="9"/>
  <c r="D197" i="9"/>
  <c r="E197" i="9"/>
  <c r="F197" i="9"/>
  <c r="G197" i="9"/>
  <c r="H197" i="9"/>
  <c r="C197" i="9"/>
  <c r="B197" i="9"/>
  <c r="E96" i="9"/>
  <c r="D96" i="9"/>
  <c r="D189" i="9" s="1"/>
  <c r="C145" i="9"/>
  <c r="K86" i="9"/>
  <c r="E74" i="9"/>
  <c r="E60" i="9"/>
  <c r="B47" i="9"/>
  <c r="C47" i="9"/>
  <c r="B32" i="9"/>
  <c r="C32" i="9"/>
  <c r="B33" i="9"/>
  <c r="C33" i="9"/>
  <c r="B34" i="9"/>
  <c r="C34" i="9"/>
  <c r="B35" i="9"/>
  <c r="C35" i="9"/>
  <c r="B31" i="9"/>
  <c r="C31" i="9"/>
  <c r="B30" i="9"/>
  <c r="E79" i="14" l="1"/>
  <c r="D83" i="14" s="1"/>
  <c r="F128" i="3" s="1"/>
  <c r="C272" i="10"/>
  <c r="C54" i="12"/>
  <c r="G54" i="12" s="1"/>
  <c r="J73" i="11"/>
  <c r="I54" i="13"/>
  <c r="C56" i="13" s="1"/>
  <c r="E81" i="10"/>
  <c r="C105" i="10"/>
  <c r="F71" i="3" s="1"/>
  <c r="E47" i="10"/>
  <c r="D50" i="10" s="1"/>
  <c r="F69" i="3" s="1"/>
  <c r="C125" i="9"/>
  <c r="E130" i="9"/>
  <c r="C133" i="9" s="1"/>
  <c r="J136" i="9" s="1"/>
  <c r="C99" i="9"/>
  <c r="E189" i="9"/>
  <c r="E86" i="9"/>
  <c r="D89" i="9" s="1"/>
  <c r="M848" i="16" l="1"/>
  <c r="M847" i="16"/>
  <c r="M846" i="16"/>
  <c r="D279" i="3"/>
  <c r="B279" i="3"/>
  <c r="F295" i="3"/>
  <c r="C152" i="31"/>
  <c r="B152" i="31"/>
  <c r="M852" i="16" l="1"/>
  <c r="M844" i="16"/>
  <c r="M845" i="16"/>
  <c r="M849" i="16"/>
  <c r="M850" i="16"/>
  <c r="M851" i="16"/>
  <c r="M843" i="16"/>
  <c r="M853" i="16" l="1"/>
  <c r="G279" i="3" l="1"/>
  <c r="B49" i="9" l="1"/>
  <c r="C49" i="9"/>
  <c r="C36" i="9"/>
  <c r="C25" i="9"/>
  <c r="A189" i="13"/>
  <c r="B189" i="13"/>
  <c r="G21" i="13" l="1"/>
  <c r="G22" i="13" s="1"/>
  <c r="G23" i="13" s="1"/>
  <c r="G24" i="13" s="1"/>
  <c r="G25" i="13" s="1"/>
  <c r="A46" i="14"/>
  <c r="B46" i="14"/>
  <c r="B44" i="14"/>
  <c r="C30" i="9"/>
  <c r="A27" i="9"/>
  <c r="B27" i="9"/>
  <c r="H19" i="33"/>
  <c r="G26" i="13" l="1"/>
  <c r="G27" i="13" s="1"/>
  <c r="G28" i="13" s="1"/>
  <c r="G29" i="13" s="1"/>
  <c r="G30" i="13" s="1"/>
  <c r="G31" i="13" s="1"/>
  <c r="G32" i="13" s="1"/>
  <c r="C38" i="9"/>
  <c r="F52" i="3" s="1"/>
  <c r="I50" i="33"/>
  <c r="C52" i="33" s="1"/>
  <c r="F482" i="3" s="1"/>
  <c r="A47" i="33"/>
  <c r="B47" i="33"/>
  <c r="A833" i="16"/>
  <c r="M836" i="16"/>
  <c r="M837" i="16" s="1"/>
  <c r="B481" i="3"/>
  <c r="D481" i="3"/>
  <c r="G33" i="13" l="1"/>
  <c r="K32" i="13"/>
  <c r="G34" i="13" l="1"/>
  <c r="K34" i="13" s="1"/>
  <c r="K33" i="13"/>
  <c r="G481" i="3"/>
  <c r="F481" i="3"/>
  <c r="A43" i="33"/>
  <c r="B43" i="33"/>
  <c r="I39" i="33"/>
  <c r="I35" i="33"/>
  <c r="D480" i="3"/>
  <c r="B31" i="33" s="1"/>
  <c r="A31" i="33"/>
  <c r="B480" i="3"/>
  <c r="K827" i="16"/>
  <c r="M827" i="16" s="1"/>
  <c r="K825" i="16"/>
  <c r="M825" i="16" s="1"/>
  <c r="K826" i="16"/>
  <c r="M826" i="16" s="1"/>
  <c r="K824" i="16"/>
  <c r="M824" i="16" s="1"/>
  <c r="A821" i="16"/>
  <c r="I31" i="13"/>
  <c r="C31" i="13"/>
  <c r="B31" i="13"/>
  <c r="G83" i="13"/>
  <c r="C83" i="13"/>
  <c r="B83" i="13"/>
  <c r="G142" i="10"/>
  <c r="G140" i="10"/>
  <c r="G137" i="10"/>
  <c r="G136" i="10"/>
  <c r="C253" i="13"/>
  <c r="C249" i="13"/>
  <c r="C167" i="13"/>
  <c r="I164" i="13"/>
  <c r="A161" i="13"/>
  <c r="C197" i="13" s="1"/>
  <c r="B161" i="13"/>
  <c r="A169" i="13"/>
  <c r="C174" i="13"/>
  <c r="C176" i="13" s="1"/>
  <c r="I172" i="13"/>
  <c r="K388" i="16"/>
  <c r="M388" i="16" s="1"/>
  <c r="D112" i="3"/>
  <c r="B169" i="13" s="1"/>
  <c r="B112" i="3"/>
  <c r="A382" i="16"/>
  <c r="M390" i="16"/>
  <c r="M389" i="16"/>
  <c r="M387" i="16"/>
  <c r="M386" i="16"/>
  <c r="M385" i="16"/>
  <c r="I223" i="13"/>
  <c r="E224" i="13"/>
  <c r="K108" i="16"/>
  <c r="K114" i="16" s="1"/>
  <c r="K113" i="16" s="1"/>
  <c r="M391" i="16" l="1"/>
  <c r="G112" i="3" s="1"/>
  <c r="C130" i="13"/>
  <c r="I130" i="13" s="1"/>
  <c r="D97" i="11"/>
  <c r="D65" i="12" s="1"/>
  <c r="J65" i="12" s="1"/>
  <c r="C134" i="13"/>
  <c r="I134" i="13" s="1"/>
  <c r="D101" i="11"/>
  <c r="D69" i="12" s="1"/>
  <c r="J69" i="12" s="1"/>
  <c r="C41" i="33"/>
  <c r="F480" i="3" s="1"/>
  <c r="F111" i="3"/>
  <c r="D197" i="13"/>
  <c r="I83" i="13"/>
  <c r="K31" i="13"/>
  <c r="K828" i="16"/>
  <c r="C252" i="13"/>
  <c r="D100" i="11" s="1"/>
  <c r="D68" i="12" s="1"/>
  <c r="J68" i="12" s="1"/>
  <c r="I249" i="13"/>
  <c r="I253" i="13"/>
  <c r="J102" i="11"/>
  <c r="F112" i="3"/>
  <c r="F450" i="3"/>
  <c r="A52" i="18"/>
  <c r="B52" i="18"/>
  <c r="A577" i="16"/>
  <c r="I252" i="13" l="1"/>
  <c r="C133" i="13"/>
  <c r="I133" i="13" s="1"/>
  <c r="M828" i="16"/>
  <c r="K829" i="16"/>
  <c r="M829" i="16" s="1"/>
  <c r="M830" i="16" l="1"/>
  <c r="G480" i="3"/>
  <c r="B57" i="6" l="1"/>
  <c r="I51" i="6"/>
  <c r="I39" i="6"/>
  <c r="A12" i="16" l="1"/>
  <c r="F479" i="3" l="1"/>
  <c r="A27" i="33"/>
  <c r="K812" i="16"/>
  <c r="M812" i="16" s="1"/>
  <c r="K811" i="16"/>
  <c r="M811" i="16" s="1"/>
  <c r="Q812" i="16"/>
  <c r="K808" i="16"/>
  <c r="K809" i="16" s="1"/>
  <c r="M809" i="16" s="1"/>
  <c r="Q809" i="16"/>
  <c r="K817" i="16"/>
  <c r="K816" i="16"/>
  <c r="D479" i="3"/>
  <c r="B27" i="33" s="1"/>
  <c r="A804" i="16"/>
  <c r="B479" i="3"/>
  <c r="R803" i="16"/>
  <c r="K815" i="16" l="1"/>
  <c r="M815" i="16" s="1"/>
  <c r="K814" i="16"/>
  <c r="M814" i="16" s="1"/>
  <c r="M817" i="16"/>
  <c r="M808" i="16"/>
  <c r="M816" i="16"/>
  <c r="K810" i="16"/>
  <c r="M810" i="16" s="1"/>
  <c r="K807" i="16"/>
  <c r="M807" i="16" s="1"/>
  <c r="P816" i="16"/>
  <c r="Q816" i="16" s="1"/>
  <c r="K813" i="16" s="1"/>
  <c r="M813" i="16" s="1"/>
  <c r="K608" i="16"/>
  <c r="M608" i="16" s="1"/>
  <c r="K602" i="16"/>
  <c r="M602" i="16" s="1"/>
  <c r="K599" i="16"/>
  <c r="M599" i="16" s="1"/>
  <c r="P607" i="16"/>
  <c r="K584" i="16"/>
  <c r="M584" i="16" s="1"/>
  <c r="P586" i="16"/>
  <c r="M818" i="16" l="1"/>
  <c r="K606" i="16"/>
  <c r="M606" i="16" s="1"/>
  <c r="K604" i="16"/>
  <c r="M604" i="16" s="1"/>
  <c r="Q607" i="16"/>
  <c r="K605" i="16" s="1"/>
  <c r="M605" i="16" s="1"/>
  <c r="G479" i="3"/>
  <c r="I35" i="35" l="1"/>
  <c r="I34" i="35"/>
  <c r="C37" i="35" s="1"/>
  <c r="F441" i="3" s="1"/>
  <c r="A31" i="35"/>
  <c r="D441" i="3"/>
  <c r="B31" i="35" s="1"/>
  <c r="B441" i="3"/>
  <c r="K800" i="16"/>
  <c r="M800" i="16" s="1"/>
  <c r="K799" i="16"/>
  <c r="M799" i="16" s="1"/>
  <c r="M797" i="16"/>
  <c r="M798" i="16"/>
  <c r="A793" i="16"/>
  <c r="M796" i="16"/>
  <c r="G23" i="35"/>
  <c r="G24" i="35"/>
  <c r="G25" i="35"/>
  <c r="G22" i="35"/>
  <c r="K582" i="16"/>
  <c r="M582" i="16" s="1"/>
  <c r="K581" i="16"/>
  <c r="M581" i="16" s="1"/>
  <c r="K580" i="16"/>
  <c r="M580" i="16" s="1"/>
  <c r="K583" i="16"/>
  <c r="M583" i="16" s="1"/>
  <c r="K585" i="16"/>
  <c r="M585" i="16" s="1"/>
  <c r="F439" i="3"/>
  <c r="A15" i="35"/>
  <c r="B15" i="35"/>
  <c r="M801" i="16" l="1"/>
  <c r="G441" i="3" s="1"/>
  <c r="C29" i="35"/>
  <c r="F402" i="3"/>
  <c r="F403" i="3"/>
  <c r="F404" i="3"/>
  <c r="F405" i="3"/>
  <c r="F401" i="3"/>
  <c r="F400" i="3"/>
  <c r="F399" i="3"/>
  <c r="F398" i="3"/>
  <c r="F397" i="3"/>
  <c r="F396" i="3"/>
  <c r="F395" i="3"/>
  <c r="F394" i="3"/>
  <c r="F393" i="3"/>
  <c r="F391" i="3"/>
  <c r="F390" i="3"/>
  <c r="F389" i="3"/>
  <c r="F388" i="3"/>
  <c r="A108" i="28"/>
  <c r="B108" i="28"/>
  <c r="A88" i="28"/>
  <c r="A92" i="28"/>
  <c r="A96" i="28"/>
  <c r="A100" i="28"/>
  <c r="A104" i="28"/>
  <c r="B104" i="28"/>
  <c r="A72" i="28"/>
  <c r="A76" i="28"/>
  <c r="A80" i="28"/>
  <c r="B80" i="28"/>
  <c r="A84" i="28"/>
  <c r="B84" i="28"/>
  <c r="A40" i="28"/>
  <c r="B40" i="28"/>
  <c r="A44" i="28"/>
  <c r="B44" i="28"/>
  <c r="A48" i="28"/>
  <c r="B48" i="28"/>
  <c r="A56" i="28"/>
  <c r="B56" i="28"/>
  <c r="A60" i="28"/>
  <c r="B60" i="28"/>
  <c r="A64" i="28"/>
  <c r="A68" i="28"/>
  <c r="B68" i="28"/>
  <c r="A36" i="28"/>
  <c r="A723" i="16"/>
  <c r="A733" i="16"/>
  <c r="A760" i="16"/>
  <c r="A771" i="16"/>
  <c r="A782" i="16"/>
  <c r="D404" i="3"/>
  <c r="B100" i="28" s="1"/>
  <c r="B404" i="3"/>
  <c r="D403" i="3"/>
  <c r="B96" i="28" s="1"/>
  <c r="B403" i="3"/>
  <c r="D402" i="3"/>
  <c r="B92" i="28" s="1"/>
  <c r="B402" i="3"/>
  <c r="A751" i="16"/>
  <c r="D401" i="3"/>
  <c r="B88" i="28" s="1"/>
  <c r="B401" i="3"/>
  <c r="A742" i="16"/>
  <c r="D398" i="3"/>
  <c r="B76" i="28" s="1"/>
  <c r="B398" i="3"/>
  <c r="D397" i="3"/>
  <c r="B72" i="28" s="1"/>
  <c r="B397" i="3"/>
  <c r="D395" i="3"/>
  <c r="B64" i="28" s="1"/>
  <c r="B395" i="3"/>
  <c r="B36" i="28"/>
  <c r="M789" i="16"/>
  <c r="M788" i="16"/>
  <c r="M787" i="16"/>
  <c r="M786" i="16"/>
  <c r="M785" i="16"/>
  <c r="M778" i="16"/>
  <c r="M777" i="16"/>
  <c r="M776" i="16"/>
  <c r="M775" i="16"/>
  <c r="M774" i="16"/>
  <c r="M767" i="16"/>
  <c r="M766" i="16"/>
  <c r="M765" i="16"/>
  <c r="M764" i="16"/>
  <c r="M763" i="16"/>
  <c r="M756" i="16"/>
  <c r="M755" i="16"/>
  <c r="M754" i="16"/>
  <c r="M747" i="16"/>
  <c r="M746" i="16"/>
  <c r="M745" i="16"/>
  <c r="M738" i="16"/>
  <c r="M737" i="16"/>
  <c r="M736" i="16"/>
  <c r="M729" i="16"/>
  <c r="M728" i="16"/>
  <c r="M727" i="16"/>
  <c r="M726" i="16"/>
  <c r="M757" i="16" l="1"/>
  <c r="M779" i="16"/>
  <c r="G403" i="3" s="1"/>
  <c r="M790" i="16"/>
  <c r="G404" i="3" s="1"/>
  <c r="M768" i="16"/>
  <c r="M748" i="16"/>
  <c r="G398" i="3" s="1"/>
  <c r="M739" i="16"/>
  <c r="G397" i="3" s="1"/>
  <c r="M730" i="16"/>
  <c r="G395" i="3" s="1"/>
  <c r="G402" i="3"/>
  <c r="G401" i="3"/>
  <c r="B14" i="10" l="1"/>
  <c r="A14" i="10"/>
  <c r="AB66" i="4" l="1"/>
  <c r="AB63" i="4"/>
  <c r="AB60" i="4"/>
  <c r="AB57" i="4"/>
  <c r="AB54" i="4"/>
  <c r="AB48" i="4"/>
  <c r="AB45" i="4"/>
  <c r="AB42" i="4"/>
  <c r="AB39" i="4"/>
  <c r="AB36" i="4"/>
  <c r="AB33" i="4"/>
  <c r="AB30" i="4"/>
  <c r="AB27" i="4"/>
  <c r="AB24" i="4"/>
  <c r="AB21" i="4"/>
  <c r="AB18" i="4"/>
  <c r="AB15" i="4"/>
  <c r="AB12" i="4"/>
  <c r="AB9" i="4"/>
  <c r="B66" i="4" l="1"/>
  <c r="A66" i="4"/>
  <c r="B63" i="4"/>
  <c r="A63" i="4"/>
  <c r="B60" i="4"/>
  <c r="A60" i="4"/>
  <c r="B57" i="4"/>
  <c r="A57" i="4"/>
  <c r="B54" i="4"/>
  <c r="A54" i="4"/>
  <c r="B51" i="4"/>
  <c r="A51" i="4"/>
  <c r="B48" i="4"/>
  <c r="A48" i="4"/>
  <c r="B45" i="4"/>
  <c r="A45" i="4"/>
  <c r="B42" i="4"/>
  <c r="A42" i="4"/>
  <c r="B39" i="4"/>
  <c r="A39" i="4"/>
  <c r="F473" i="3" l="1"/>
  <c r="F472" i="3"/>
  <c r="F471" i="3"/>
  <c r="B162" i="36"/>
  <c r="A162" i="36"/>
  <c r="A158" i="36"/>
  <c r="A154" i="36"/>
  <c r="B153" i="36"/>
  <c r="A153" i="36"/>
  <c r="B144" i="36"/>
  <c r="A144" i="36"/>
  <c r="B136" i="36"/>
  <c r="A136" i="36"/>
  <c r="B135" i="36"/>
  <c r="A135" i="36"/>
  <c r="B129" i="36"/>
  <c r="A129" i="36"/>
  <c r="B120" i="36"/>
  <c r="A120" i="36"/>
  <c r="B111" i="36"/>
  <c r="A111" i="36"/>
  <c r="D131" i="36" s="1"/>
  <c r="B100" i="36"/>
  <c r="A100" i="36"/>
  <c r="B99" i="36"/>
  <c r="A99" i="36"/>
  <c r="B93" i="36"/>
  <c r="A93" i="36"/>
  <c r="B82" i="36"/>
  <c r="A82" i="36"/>
  <c r="B71" i="36"/>
  <c r="A71" i="36"/>
  <c r="B55" i="36"/>
  <c r="A55" i="36"/>
  <c r="D95" i="36" s="1"/>
  <c r="B39" i="36"/>
  <c r="A39" i="36"/>
  <c r="B27" i="36"/>
  <c r="A27" i="36"/>
  <c r="B15" i="36"/>
  <c r="A15" i="36"/>
  <c r="A14" i="36"/>
  <c r="B13" i="36"/>
  <c r="A13" i="36"/>
  <c r="H148" i="36"/>
  <c r="C150" i="36" s="1"/>
  <c r="F469" i="3" s="1"/>
  <c r="B140" i="36"/>
  <c r="F140" i="36" s="1"/>
  <c r="C142" i="36" s="1"/>
  <c r="F468" i="3" s="1"/>
  <c r="F125" i="36"/>
  <c r="C127" i="36" s="1"/>
  <c r="F465" i="3" s="1"/>
  <c r="D116" i="36"/>
  <c r="B116" i="36"/>
  <c r="D115" i="36"/>
  <c r="B115" i="36"/>
  <c r="C107" i="36"/>
  <c r="G107" i="36" s="1"/>
  <c r="C106" i="36"/>
  <c r="G106" i="36" s="1"/>
  <c r="I104" i="36"/>
  <c r="G104" i="36"/>
  <c r="I103" i="36"/>
  <c r="G103" i="36"/>
  <c r="F86" i="36"/>
  <c r="F85" i="36"/>
  <c r="F75" i="36"/>
  <c r="F74" i="36"/>
  <c r="C66" i="36"/>
  <c r="C65" i="36"/>
  <c r="G65" i="36" s="1"/>
  <c r="C64" i="36"/>
  <c r="G64" i="36" s="1"/>
  <c r="G60" i="36"/>
  <c r="C50" i="36"/>
  <c r="E49" i="36"/>
  <c r="G59" i="36" s="1"/>
  <c r="C49" i="36"/>
  <c r="E48" i="36"/>
  <c r="G58" i="36" s="1"/>
  <c r="C48" i="36"/>
  <c r="C58" i="36" s="1"/>
  <c r="G45" i="36"/>
  <c r="G44" i="36"/>
  <c r="G43" i="36"/>
  <c r="E22" i="36"/>
  <c r="C22" i="36"/>
  <c r="E20" i="36"/>
  <c r="E32" i="36" s="1"/>
  <c r="C20" i="36"/>
  <c r="C32" i="36" s="1"/>
  <c r="E19" i="36"/>
  <c r="E31" i="36" s="1"/>
  <c r="C19" i="36"/>
  <c r="B14" i="36"/>
  <c r="A11" i="36"/>
  <c r="A10" i="36"/>
  <c r="D472" i="3"/>
  <c r="B158" i="36" s="1"/>
  <c r="D471" i="3"/>
  <c r="B154" i="36" s="1"/>
  <c r="B472" i="3"/>
  <c r="B471" i="3"/>
  <c r="A711" i="16"/>
  <c r="A699" i="16"/>
  <c r="M719" i="16"/>
  <c r="M718" i="16"/>
  <c r="M717" i="16"/>
  <c r="M716" i="16"/>
  <c r="M715" i="16"/>
  <c r="M714" i="16"/>
  <c r="M707" i="16"/>
  <c r="M706" i="16"/>
  <c r="M705" i="16"/>
  <c r="M704" i="16"/>
  <c r="M703" i="16"/>
  <c r="M702" i="16"/>
  <c r="M720" i="16" l="1"/>
  <c r="G472" i="3" s="1"/>
  <c r="M708" i="16"/>
  <c r="G471" i="3" s="1"/>
  <c r="G66" i="36"/>
  <c r="C67" i="36"/>
  <c r="G67" i="36" s="1"/>
  <c r="C60" i="36"/>
  <c r="I60" i="36" s="1"/>
  <c r="C51" i="36"/>
  <c r="L103" i="36"/>
  <c r="I20" i="36"/>
  <c r="F459" i="3"/>
  <c r="C91" i="36"/>
  <c r="F460" i="3" s="1"/>
  <c r="L104" i="36"/>
  <c r="G49" i="36"/>
  <c r="H115" i="36"/>
  <c r="I58" i="36"/>
  <c r="C59" i="36"/>
  <c r="I59" i="36" s="1"/>
  <c r="H116" i="36"/>
  <c r="G32" i="36"/>
  <c r="C34" i="36"/>
  <c r="G50" i="36"/>
  <c r="E34" i="36"/>
  <c r="I22" i="36"/>
  <c r="C31" i="36"/>
  <c r="G31" i="36" s="1"/>
  <c r="G48" i="36"/>
  <c r="I19" i="36"/>
  <c r="G51" i="36" l="1"/>
  <c r="C53" i="36" s="1"/>
  <c r="F457" i="3" s="1"/>
  <c r="C61" i="36"/>
  <c r="I61" i="36" s="1"/>
  <c r="C97" i="36" s="1"/>
  <c r="F461" i="3" s="1"/>
  <c r="C109" i="36"/>
  <c r="F463" i="3" s="1"/>
  <c r="C25" i="36"/>
  <c r="F456" i="3" s="1"/>
  <c r="C118" i="36"/>
  <c r="C133" i="36" s="1"/>
  <c r="F466" i="3" s="1"/>
  <c r="G34" i="36"/>
  <c r="C37" i="36" s="1"/>
  <c r="F464" i="3" l="1"/>
  <c r="F458" i="3"/>
  <c r="F455" i="3"/>
  <c r="C184" i="13" l="1"/>
  <c r="C186" i="13" s="1"/>
  <c r="G126" i="12" l="1"/>
  <c r="G28" i="11"/>
  <c r="G25" i="11"/>
  <c r="A678" i="16" l="1"/>
  <c r="B263" i="3"/>
  <c r="M683" i="16"/>
  <c r="M682" i="16"/>
  <c r="M681" i="16"/>
  <c r="M684" i="16" l="1"/>
  <c r="G263" i="3" s="1"/>
  <c r="A657" i="16"/>
  <c r="A648" i="16"/>
  <c r="A639" i="16"/>
  <c r="A630" i="16"/>
  <c r="A621" i="16"/>
  <c r="A612" i="16"/>
  <c r="A595" i="16"/>
  <c r="A567" i="16"/>
  <c r="A552" i="16"/>
  <c r="A540" i="16"/>
  <c r="A412" i="16"/>
  <c r="A404" i="16"/>
  <c r="A105" i="16"/>
  <c r="A90" i="16"/>
  <c r="A69" i="16"/>
  <c r="A60" i="16"/>
  <c r="A47" i="16"/>
  <c r="A32" i="16"/>
  <c r="A20" i="16"/>
  <c r="B14" i="19" l="1"/>
  <c r="A14" i="19"/>
  <c r="B13" i="19"/>
  <c r="A13" i="19"/>
  <c r="A11" i="19"/>
  <c r="A10" i="19"/>
  <c r="A23" i="33"/>
  <c r="H18" i="33"/>
  <c r="B14" i="33"/>
  <c r="A14" i="33"/>
  <c r="B13" i="33"/>
  <c r="A13" i="33"/>
  <c r="A11" i="33"/>
  <c r="A10" i="33"/>
  <c r="B48" i="18"/>
  <c r="A48" i="18"/>
  <c r="B44" i="18"/>
  <c r="A44" i="18"/>
  <c r="C42" i="18"/>
  <c r="F447" i="3" s="1"/>
  <c r="A37" i="18"/>
  <c r="F32" i="18"/>
  <c r="F28" i="18"/>
  <c r="C34" i="18" s="1"/>
  <c r="A25" i="18"/>
  <c r="C23" i="18"/>
  <c r="F445" i="3" s="1"/>
  <c r="B15" i="18"/>
  <c r="A15" i="18"/>
  <c r="B13" i="18"/>
  <c r="A13" i="18"/>
  <c r="A11" i="18"/>
  <c r="A10" i="18"/>
  <c r="A19" i="35"/>
  <c r="B13" i="35"/>
  <c r="A13" i="35"/>
  <c r="A11" i="35"/>
  <c r="A10" i="35"/>
  <c r="B13" i="29"/>
  <c r="A13" i="29"/>
  <c r="A11" i="29"/>
  <c r="A10" i="29"/>
  <c r="C13" i="27"/>
  <c r="B13" i="27"/>
  <c r="A11" i="27"/>
  <c r="A10" i="27"/>
  <c r="E34" i="28"/>
  <c r="C34" i="28"/>
  <c r="A31" i="28"/>
  <c r="B27" i="28"/>
  <c r="A27" i="28"/>
  <c r="A23" i="28"/>
  <c r="B19" i="28"/>
  <c r="A19" i="28"/>
  <c r="B14" i="28"/>
  <c r="A14" i="28"/>
  <c r="A13" i="28"/>
  <c r="A11" i="28"/>
  <c r="A10" i="28"/>
  <c r="B55" i="34"/>
  <c r="B51" i="34"/>
  <c r="B47" i="34"/>
  <c r="B43" i="34"/>
  <c r="B39" i="34"/>
  <c r="B35" i="34"/>
  <c r="C31" i="34"/>
  <c r="B31" i="34"/>
  <c r="C27" i="34"/>
  <c r="B27" i="34"/>
  <c r="C23" i="34"/>
  <c r="B23" i="34"/>
  <c r="C19" i="34"/>
  <c r="B19" i="34"/>
  <c r="C15" i="34"/>
  <c r="B15" i="34"/>
  <c r="C14" i="34"/>
  <c r="B14" i="34"/>
  <c r="C13" i="34"/>
  <c r="B13" i="34"/>
  <c r="A11" i="34"/>
  <c r="A10" i="34"/>
  <c r="C160" i="31"/>
  <c r="B160" i="31"/>
  <c r="C156" i="31"/>
  <c r="B156" i="31"/>
  <c r="C148" i="31"/>
  <c r="B148" i="31"/>
  <c r="C144" i="31"/>
  <c r="B144" i="31"/>
  <c r="C139" i="31"/>
  <c r="B139" i="31"/>
  <c r="C135" i="31"/>
  <c r="B135" i="31"/>
  <c r="C131" i="31"/>
  <c r="B131" i="31"/>
  <c r="C127" i="31"/>
  <c r="B127" i="31"/>
  <c r="C123" i="31"/>
  <c r="B123" i="31"/>
  <c r="C119" i="31"/>
  <c r="B119" i="31"/>
  <c r="C115" i="31"/>
  <c r="B115" i="31"/>
  <c r="C111" i="31"/>
  <c r="B111" i="31"/>
  <c r="C107" i="31"/>
  <c r="B107" i="31"/>
  <c r="C103" i="31"/>
  <c r="B103" i="31"/>
  <c r="D101" i="31"/>
  <c r="F282" i="3" s="1"/>
  <c r="C99" i="31"/>
  <c r="B99" i="31"/>
  <c r="D97" i="31"/>
  <c r="F281" i="3" s="1"/>
  <c r="C95" i="31"/>
  <c r="B95" i="31"/>
  <c r="D93" i="31"/>
  <c r="F280" i="3" s="1"/>
  <c r="C91" i="31"/>
  <c r="B91" i="31"/>
  <c r="D89" i="31"/>
  <c r="F279" i="3" s="1"/>
  <c r="C87" i="31"/>
  <c r="B87" i="31"/>
  <c r="D85" i="31"/>
  <c r="F278" i="3" s="1"/>
  <c r="C83" i="31"/>
  <c r="B83" i="31"/>
  <c r="C79" i="31"/>
  <c r="B79" i="31"/>
  <c r="C75" i="31"/>
  <c r="B75" i="31"/>
  <c r="C71" i="31"/>
  <c r="B71" i="31"/>
  <c r="C67" i="31"/>
  <c r="B67" i="31"/>
  <c r="C63" i="31"/>
  <c r="B63" i="31"/>
  <c r="C59" i="31"/>
  <c r="B59" i="31"/>
  <c r="C55" i="31"/>
  <c r="B55" i="31"/>
  <c r="C51" i="31"/>
  <c r="B51" i="31"/>
  <c r="C47" i="31"/>
  <c r="B47" i="31"/>
  <c r="C43" i="31"/>
  <c r="B43" i="31"/>
  <c r="C39" i="31"/>
  <c r="B39" i="31"/>
  <c r="C35" i="31"/>
  <c r="B35" i="31"/>
  <c r="C31" i="31"/>
  <c r="B31" i="31"/>
  <c r="C27" i="31"/>
  <c r="B27" i="31"/>
  <c r="C23" i="31"/>
  <c r="B23" i="31"/>
  <c r="C19" i="31"/>
  <c r="B19" i="31"/>
  <c r="C15" i="31"/>
  <c r="B15" i="31"/>
  <c r="C13" i="31"/>
  <c r="B13" i="31"/>
  <c r="A11" i="31"/>
  <c r="A10" i="31"/>
  <c r="C13" i="26"/>
  <c r="B13" i="26"/>
  <c r="A10" i="26"/>
  <c r="B35" i="14"/>
  <c r="A35" i="14"/>
  <c r="B26" i="14"/>
  <c r="A26" i="14"/>
  <c r="B15" i="14"/>
  <c r="A15" i="14"/>
  <c r="B13" i="14"/>
  <c r="A13" i="14"/>
  <c r="A11" i="14"/>
  <c r="A10" i="14"/>
  <c r="C247" i="13"/>
  <c r="C246" i="13"/>
  <c r="C248" i="13"/>
  <c r="F251" i="13"/>
  <c r="C251" i="13"/>
  <c r="C250" i="13"/>
  <c r="B243" i="13"/>
  <c r="A243" i="13"/>
  <c r="A237" i="13"/>
  <c r="A231" i="13"/>
  <c r="I225" i="13"/>
  <c r="I224" i="13"/>
  <c r="B220" i="13"/>
  <c r="A220" i="13"/>
  <c r="I215" i="13"/>
  <c r="A211" i="13"/>
  <c r="A202" i="13"/>
  <c r="I182" i="13"/>
  <c r="A178" i="13"/>
  <c r="C156" i="13"/>
  <c r="C159" i="13" s="1"/>
  <c r="F110" i="3" s="1"/>
  <c r="I154" i="13"/>
  <c r="B150" i="13"/>
  <c r="A150" i="13"/>
  <c r="C196" i="13" s="1"/>
  <c r="C146" i="13"/>
  <c r="C148" i="13" s="1"/>
  <c r="I144" i="13"/>
  <c r="B140" i="13"/>
  <c r="A140" i="13"/>
  <c r="C195" i="13" s="1"/>
  <c r="B124" i="13"/>
  <c r="A124" i="13"/>
  <c r="B123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B103" i="13"/>
  <c r="A103" i="13"/>
  <c r="I98" i="13"/>
  <c r="I97" i="13"/>
  <c r="I96" i="13"/>
  <c r="A93" i="13"/>
  <c r="B89" i="13"/>
  <c r="G88" i="13"/>
  <c r="G89" i="13" s="1"/>
  <c r="C88" i="13"/>
  <c r="B88" i="13"/>
  <c r="C87" i="13"/>
  <c r="I87" i="13" s="1"/>
  <c r="B87" i="13"/>
  <c r="G82" i="13"/>
  <c r="I30" i="13" s="1"/>
  <c r="C82" i="13"/>
  <c r="C30" i="13" s="1"/>
  <c r="B82" i="13"/>
  <c r="B30" i="13" s="1"/>
  <c r="G81" i="13"/>
  <c r="I29" i="13" s="1"/>
  <c r="C81" i="13"/>
  <c r="B81" i="13"/>
  <c r="B29" i="13" s="1"/>
  <c r="G80" i="13"/>
  <c r="I28" i="13" s="1"/>
  <c r="C80" i="13"/>
  <c r="C28" i="13" s="1"/>
  <c r="B80" i="13"/>
  <c r="B28" i="13" s="1"/>
  <c r="G79" i="13"/>
  <c r="I27" i="13" s="1"/>
  <c r="C79" i="13"/>
  <c r="C27" i="13" s="1"/>
  <c r="B79" i="13"/>
  <c r="B27" i="13" s="1"/>
  <c r="G78" i="13"/>
  <c r="I26" i="13" s="1"/>
  <c r="C78" i="13"/>
  <c r="B78" i="13"/>
  <c r="B26" i="13" s="1"/>
  <c r="G77" i="13"/>
  <c r="I25" i="13" s="1"/>
  <c r="C77" i="13"/>
  <c r="C25" i="13" s="1"/>
  <c r="B77" i="13"/>
  <c r="B25" i="13" s="1"/>
  <c r="G76" i="13"/>
  <c r="I24" i="13" s="1"/>
  <c r="C76" i="13"/>
  <c r="C24" i="13" s="1"/>
  <c r="B76" i="13"/>
  <c r="B24" i="13" s="1"/>
  <c r="G75" i="13"/>
  <c r="I23" i="13" s="1"/>
  <c r="C75" i="13"/>
  <c r="C23" i="13" s="1"/>
  <c r="B75" i="13"/>
  <c r="B23" i="13" s="1"/>
  <c r="G74" i="13"/>
  <c r="I22" i="13" s="1"/>
  <c r="C74" i="13"/>
  <c r="C22" i="13" s="1"/>
  <c r="B74" i="13"/>
  <c r="B22" i="13" s="1"/>
  <c r="G73" i="13"/>
  <c r="I21" i="13" s="1"/>
  <c r="C73" i="13"/>
  <c r="C21" i="13" s="1"/>
  <c r="B73" i="13"/>
  <c r="B21" i="13" s="1"/>
  <c r="G72" i="13"/>
  <c r="I20" i="13" s="1"/>
  <c r="C72" i="13"/>
  <c r="B72" i="13"/>
  <c r="B20" i="13" s="1"/>
  <c r="G71" i="13"/>
  <c r="I19" i="13" s="1"/>
  <c r="C71" i="13"/>
  <c r="C19" i="13" s="1"/>
  <c r="B71" i="13"/>
  <c r="B19" i="13" s="1"/>
  <c r="B67" i="13"/>
  <c r="A67" i="13"/>
  <c r="J63" i="13"/>
  <c r="B59" i="13"/>
  <c r="A59" i="13"/>
  <c r="B16" i="13"/>
  <c r="A16" i="13"/>
  <c r="B14" i="13"/>
  <c r="B13" i="13"/>
  <c r="A13" i="13"/>
  <c r="A11" i="13"/>
  <c r="A10" i="13"/>
  <c r="B166" i="12"/>
  <c r="A166" i="12"/>
  <c r="B159" i="12"/>
  <c r="A159" i="12"/>
  <c r="F151" i="12"/>
  <c r="D151" i="12"/>
  <c r="F150" i="12"/>
  <c r="D150" i="12"/>
  <c r="F149" i="12"/>
  <c r="D149" i="12"/>
  <c r="F148" i="12"/>
  <c r="D148" i="12"/>
  <c r="F147" i="12"/>
  <c r="D147" i="12"/>
  <c r="F146" i="12"/>
  <c r="D146" i="12"/>
  <c r="F145" i="12"/>
  <c r="D145" i="12"/>
  <c r="F144" i="12"/>
  <c r="D144" i="12"/>
  <c r="F140" i="12"/>
  <c r="D140" i="12"/>
  <c r="F139" i="12"/>
  <c r="D139" i="12"/>
  <c r="B115" i="12"/>
  <c r="A115" i="12"/>
  <c r="G125" i="12"/>
  <c r="B15" i="12"/>
  <c r="A15" i="12"/>
  <c r="B13" i="12"/>
  <c r="A13" i="12"/>
  <c r="A11" i="12"/>
  <c r="A10" i="12"/>
  <c r="F117" i="11"/>
  <c r="B114" i="11"/>
  <c r="A114" i="11"/>
  <c r="B112" i="11"/>
  <c r="A112" i="11"/>
  <c r="H72" i="11"/>
  <c r="G87" i="12" s="1"/>
  <c r="F72" i="11"/>
  <c r="E87" i="12" s="1"/>
  <c r="D72" i="11"/>
  <c r="C87" i="12" s="1"/>
  <c r="B72" i="11"/>
  <c r="B87" i="12" s="1"/>
  <c r="H71" i="11"/>
  <c r="G86" i="12" s="1"/>
  <c r="F71" i="11"/>
  <c r="E86" i="12" s="1"/>
  <c r="D71" i="11"/>
  <c r="C86" i="12" s="1"/>
  <c r="B71" i="11"/>
  <c r="B86" i="12" s="1"/>
  <c r="H70" i="11"/>
  <c r="G85" i="12" s="1"/>
  <c r="F70" i="11"/>
  <c r="E85" i="12" s="1"/>
  <c r="D70" i="11"/>
  <c r="C85" i="12" s="1"/>
  <c r="B70" i="11"/>
  <c r="B85" i="12" s="1"/>
  <c r="H69" i="11"/>
  <c r="G84" i="12" s="1"/>
  <c r="F69" i="11"/>
  <c r="E84" i="12" s="1"/>
  <c r="D69" i="11"/>
  <c r="C84" i="12" s="1"/>
  <c r="B69" i="11"/>
  <c r="B84" i="12" s="1"/>
  <c r="H68" i="11"/>
  <c r="F68" i="11"/>
  <c r="E83" i="12" s="1"/>
  <c r="D68" i="11"/>
  <c r="B68" i="11"/>
  <c r="B83" i="12" s="1"/>
  <c r="H67" i="11"/>
  <c r="G82" i="12" s="1"/>
  <c r="F67" i="11"/>
  <c r="E82" i="12" s="1"/>
  <c r="D67" i="11"/>
  <c r="C82" i="12" s="1"/>
  <c r="B67" i="11"/>
  <c r="B82" i="12" s="1"/>
  <c r="H66" i="11"/>
  <c r="G81" i="12" s="1"/>
  <c r="F66" i="11"/>
  <c r="E81" i="12" s="1"/>
  <c r="D66" i="11"/>
  <c r="B66" i="11"/>
  <c r="B81" i="12" s="1"/>
  <c r="H65" i="11"/>
  <c r="G80" i="12" s="1"/>
  <c r="F65" i="11"/>
  <c r="E80" i="12" s="1"/>
  <c r="D65" i="11"/>
  <c r="C80" i="12" s="1"/>
  <c r="B65" i="11"/>
  <c r="B80" i="12" s="1"/>
  <c r="H64" i="11"/>
  <c r="F64" i="11"/>
  <c r="D64" i="11"/>
  <c r="C79" i="12" s="1"/>
  <c r="B64" i="11"/>
  <c r="B79" i="12" s="1"/>
  <c r="H63" i="11"/>
  <c r="G78" i="12" s="1"/>
  <c r="F63" i="11"/>
  <c r="E78" i="12" s="1"/>
  <c r="D63" i="11"/>
  <c r="B63" i="11"/>
  <c r="B78" i="12" s="1"/>
  <c r="H62" i="11"/>
  <c r="G77" i="12" s="1"/>
  <c r="F62" i="11"/>
  <c r="E77" i="12" s="1"/>
  <c r="D62" i="11"/>
  <c r="C77" i="12" s="1"/>
  <c r="B62" i="11"/>
  <c r="H61" i="11"/>
  <c r="F61" i="11"/>
  <c r="D61" i="11"/>
  <c r="B61" i="11"/>
  <c r="B76" i="12" s="1"/>
  <c r="C55" i="11"/>
  <c r="G54" i="11"/>
  <c r="G53" i="11"/>
  <c r="C52" i="11"/>
  <c r="C51" i="11"/>
  <c r="G50" i="11"/>
  <c r="G49" i="11"/>
  <c r="G36" i="11"/>
  <c r="G35" i="11"/>
  <c r="G33" i="11"/>
  <c r="G32" i="11"/>
  <c r="G30" i="11"/>
  <c r="G29" i="11"/>
  <c r="G27" i="11"/>
  <c r="G26" i="11"/>
  <c r="G24" i="11"/>
  <c r="G23" i="11"/>
  <c r="G22" i="11"/>
  <c r="G121" i="12"/>
  <c r="B15" i="11"/>
  <c r="A15" i="11"/>
  <c r="B13" i="11"/>
  <c r="A13" i="11"/>
  <c r="A11" i="11"/>
  <c r="A10" i="11"/>
  <c r="B284" i="10"/>
  <c r="A284" i="10"/>
  <c r="B246" i="10"/>
  <c r="A246" i="10"/>
  <c r="C244" i="10"/>
  <c r="F79" i="3" s="1"/>
  <c r="B238" i="10"/>
  <c r="A238" i="10"/>
  <c r="G234" i="10"/>
  <c r="C236" i="10" s="1"/>
  <c r="F78" i="3" s="1"/>
  <c r="B231" i="10"/>
  <c r="A231" i="10"/>
  <c r="B226" i="10"/>
  <c r="A226" i="10"/>
  <c r="B221" i="10"/>
  <c r="A221" i="10"/>
  <c r="F214" i="10"/>
  <c r="F209" i="10"/>
  <c r="E204" i="10"/>
  <c r="G199" i="10"/>
  <c r="G195" i="10"/>
  <c r="G190" i="10"/>
  <c r="F185" i="10"/>
  <c r="E180" i="10"/>
  <c r="E176" i="10"/>
  <c r="B172" i="10"/>
  <c r="A172" i="10"/>
  <c r="C169" i="10"/>
  <c r="F74" i="3" s="1"/>
  <c r="B163" i="10"/>
  <c r="A163" i="10"/>
  <c r="C158" i="10"/>
  <c r="C157" i="10"/>
  <c r="C156" i="10"/>
  <c r="C152" i="10"/>
  <c r="B147" i="10"/>
  <c r="A147" i="10"/>
  <c r="C141" i="10"/>
  <c r="G141" i="10" s="1"/>
  <c r="C139" i="10"/>
  <c r="G139" i="10" s="1"/>
  <c r="C138" i="10"/>
  <c r="G138" i="10" s="1"/>
  <c r="G133" i="10"/>
  <c r="K133" i="10" s="1"/>
  <c r="G132" i="10"/>
  <c r="K132" i="10" s="1"/>
  <c r="G131" i="10"/>
  <c r="K131" i="10" s="1"/>
  <c r="G130" i="10"/>
  <c r="K130" i="10" s="1"/>
  <c r="G129" i="10"/>
  <c r="K129" i="10" s="1"/>
  <c r="G128" i="10"/>
  <c r="K128" i="10" s="1"/>
  <c r="G127" i="10"/>
  <c r="K127" i="10" s="1"/>
  <c r="B127" i="10"/>
  <c r="G126" i="10"/>
  <c r="K126" i="10" s="1"/>
  <c r="B126" i="10"/>
  <c r="G125" i="10"/>
  <c r="K125" i="10" s="1"/>
  <c r="B125" i="10"/>
  <c r="G124" i="10"/>
  <c r="K124" i="10" s="1"/>
  <c r="B124" i="10"/>
  <c r="G123" i="10"/>
  <c r="K123" i="10" s="1"/>
  <c r="B123" i="10"/>
  <c r="G122" i="10"/>
  <c r="K122" i="10" s="1"/>
  <c r="G121" i="10"/>
  <c r="K121" i="10" s="1"/>
  <c r="B121" i="10"/>
  <c r="G120" i="10"/>
  <c r="K120" i="10" s="1"/>
  <c r="B120" i="10"/>
  <c r="G119" i="10"/>
  <c r="K119" i="10" s="1"/>
  <c r="G118" i="10"/>
  <c r="K118" i="10" s="1"/>
  <c r="G117" i="10"/>
  <c r="K117" i="10" s="1"/>
  <c r="G116" i="10"/>
  <c r="K116" i="10" s="1"/>
  <c r="G115" i="10"/>
  <c r="K115" i="10" s="1"/>
  <c r="G114" i="10"/>
  <c r="K114" i="10" s="1"/>
  <c r="G113" i="10"/>
  <c r="K113" i="10" s="1"/>
  <c r="G112" i="10"/>
  <c r="K112" i="10" s="1"/>
  <c r="G111" i="10"/>
  <c r="K111" i="10" s="1"/>
  <c r="B108" i="10"/>
  <c r="A108" i="10"/>
  <c r="B88" i="10"/>
  <c r="A88" i="10"/>
  <c r="B54" i="10"/>
  <c r="A54" i="10"/>
  <c r="B13" i="10"/>
  <c r="A13" i="10"/>
  <c r="A11" i="10"/>
  <c r="A10" i="10"/>
  <c r="G295" i="9"/>
  <c r="G294" i="9"/>
  <c r="G293" i="9"/>
  <c r="G292" i="9"/>
  <c r="G291" i="9"/>
  <c r="G290" i="9"/>
  <c r="G289" i="9"/>
  <c r="G288" i="9"/>
  <c r="G287" i="9"/>
  <c r="B283" i="9"/>
  <c r="A283" i="9"/>
  <c r="B278" i="9"/>
  <c r="A278" i="9"/>
  <c r="B272" i="9"/>
  <c r="A272" i="9"/>
  <c r="B267" i="9"/>
  <c r="A267" i="9"/>
  <c r="C264" i="9"/>
  <c r="C269" i="9" s="1"/>
  <c r="C274" i="9" s="1"/>
  <c r="C280" i="9" s="1"/>
  <c r="B262" i="9"/>
  <c r="A262" i="9"/>
  <c r="L256" i="9"/>
  <c r="H256" i="9"/>
  <c r="F256" i="9"/>
  <c r="D256" i="9"/>
  <c r="B256" i="9"/>
  <c r="F250" i="9"/>
  <c r="F246" i="9"/>
  <c r="F242" i="9"/>
  <c r="F238" i="9"/>
  <c r="F234" i="9"/>
  <c r="C219" i="9"/>
  <c r="B219" i="9"/>
  <c r="E210" i="9"/>
  <c r="E219" i="9" s="1"/>
  <c r="E229" i="9" s="1"/>
  <c r="G229" i="9" s="1"/>
  <c r="C210" i="9"/>
  <c r="B210" i="9"/>
  <c r="C200" i="9"/>
  <c r="G200" i="9" s="1"/>
  <c r="D257" i="9" s="1"/>
  <c r="B200" i="9"/>
  <c r="C192" i="9"/>
  <c r="G192" i="9" s="1"/>
  <c r="B257" i="9" s="1"/>
  <c r="B192" i="9"/>
  <c r="B184" i="9"/>
  <c r="A184" i="9"/>
  <c r="B183" i="9"/>
  <c r="A183" i="9"/>
  <c r="A179" i="9"/>
  <c r="A175" i="9"/>
  <c r="C171" i="9"/>
  <c r="C165" i="9"/>
  <c r="C158" i="9"/>
  <c r="C152" i="9"/>
  <c r="B139" i="9"/>
  <c r="A139" i="9"/>
  <c r="H135" i="9"/>
  <c r="F135" i="9"/>
  <c r="D135" i="9"/>
  <c r="B135" i="9"/>
  <c r="H136" i="9"/>
  <c r="B125" i="9"/>
  <c r="C116" i="9"/>
  <c r="F136" i="9" s="1"/>
  <c r="B116" i="9"/>
  <c r="C107" i="9"/>
  <c r="D136" i="9" s="1"/>
  <c r="B136" i="9"/>
  <c r="B99" i="9"/>
  <c r="A91" i="9"/>
  <c r="B53" i="9"/>
  <c r="A53" i="9"/>
  <c r="C48" i="9"/>
  <c r="B48" i="9"/>
  <c r="C46" i="9"/>
  <c r="B46" i="9"/>
  <c r="C45" i="9"/>
  <c r="B45" i="9"/>
  <c r="C44" i="9"/>
  <c r="B44" i="9"/>
  <c r="C43" i="9"/>
  <c r="B43" i="9"/>
  <c r="B40" i="9"/>
  <c r="A40" i="9"/>
  <c r="F51" i="3"/>
  <c r="B14" i="9"/>
  <c r="A14" i="9"/>
  <c r="B13" i="9"/>
  <c r="A13" i="9"/>
  <c r="A11" i="9"/>
  <c r="A10" i="9"/>
  <c r="B73" i="7"/>
  <c r="A73" i="7"/>
  <c r="B67" i="7"/>
  <c r="A67" i="7"/>
  <c r="B61" i="7"/>
  <c r="A61" i="7"/>
  <c r="B60" i="7"/>
  <c r="A60" i="7"/>
  <c r="B53" i="7"/>
  <c r="A53" i="7"/>
  <c r="B46" i="7"/>
  <c r="A46" i="7"/>
  <c r="B44" i="7"/>
  <c r="A44" i="7"/>
  <c r="F24" i="6" s="1"/>
  <c r="B39" i="7"/>
  <c r="A39" i="7"/>
  <c r="B33" i="7"/>
  <c r="A33" i="7"/>
  <c r="B27" i="7"/>
  <c r="A27" i="7"/>
  <c r="D24" i="6" s="1"/>
  <c r="B26" i="7"/>
  <c r="A26" i="7"/>
  <c r="B13" i="7"/>
  <c r="A13" i="7"/>
  <c r="A11" i="7"/>
  <c r="A10" i="7"/>
  <c r="I48" i="6"/>
  <c r="I45" i="6"/>
  <c r="I42" i="6"/>
  <c r="G35" i="6"/>
  <c r="G34" i="6"/>
  <c r="G33" i="6"/>
  <c r="B30" i="6"/>
  <c r="B21" i="6"/>
  <c r="B14" i="6"/>
  <c r="A14" i="6"/>
  <c r="B24" i="6" s="1"/>
  <c r="B13" i="6"/>
  <c r="A13" i="6"/>
  <c r="A11" i="6"/>
  <c r="A10" i="6"/>
  <c r="C32" i="5"/>
  <c r="B27" i="5"/>
  <c r="C25" i="5"/>
  <c r="B19" i="5"/>
  <c r="C17" i="5"/>
  <c r="F18" i="3" s="1"/>
  <c r="B14" i="5"/>
  <c r="A11" i="5"/>
  <c r="A10" i="5"/>
  <c r="G7" i="5"/>
  <c r="B6" i="5"/>
  <c r="G5" i="5"/>
  <c r="B4" i="5"/>
  <c r="B3" i="5"/>
  <c r="I2" i="5"/>
  <c r="B2" i="5"/>
  <c r="A1" i="5"/>
  <c r="A1" i="36" s="1"/>
  <c r="G23" i="32"/>
  <c r="I23" i="32" s="1"/>
  <c r="K16" i="16" s="1"/>
  <c r="M16" i="16" s="1"/>
  <c r="I19" i="32"/>
  <c r="B14" i="32"/>
  <c r="A14" i="32"/>
  <c r="B13" i="32"/>
  <c r="A13" i="32"/>
  <c r="A11" i="32"/>
  <c r="A10" i="32"/>
  <c r="G7" i="32"/>
  <c r="B6" i="32"/>
  <c r="G5" i="32"/>
  <c r="B4" i="32"/>
  <c r="B3" i="32"/>
  <c r="I2" i="32"/>
  <c r="B2" i="32"/>
  <c r="B36" i="4"/>
  <c r="A36" i="4"/>
  <c r="B33" i="4"/>
  <c r="A33" i="4"/>
  <c r="B30" i="4"/>
  <c r="A30" i="4"/>
  <c r="B27" i="4"/>
  <c r="A27" i="4"/>
  <c r="B24" i="4"/>
  <c r="A24" i="4"/>
  <c r="B21" i="4"/>
  <c r="A21" i="4"/>
  <c r="B18" i="4"/>
  <c r="A18" i="4"/>
  <c r="B15" i="4"/>
  <c r="A15" i="4"/>
  <c r="B12" i="4"/>
  <c r="A12" i="4"/>
  <c r="B9" i="4"/>
  <c r="A9" i="4"/>
  <c r="B6" i="4"/>
  <c r="A6" i="4"/>
  <c r="B3" i="4"/>
  <c r="A2" i="4"/>
  <c r="A1" i="4"/>
  <c r="F45" i="22"/>
  <c r="E45" i="22"/>
  <c r="D45" i="22"/>
  <c r="C45" i="22"/>
  <c r="F41" i="22"/>
  <c r="E41" i="22"/>
  <c r="D41" i="22"/>
  <c r="C41" i="22"/>
  <c r="F34" i="22"/>
  <c r="E34" i="22"/>
  <c r="D34" i="22"/>
  <c r="C34" i="22"/>
  <c r="F22" i="22"/>
  <c r="F46" i="22" s="1"/>
  <c r="E22" i="22"/>
  <c r="E46" i="22" s="1"/>
  <c r="D22" i="22"/>
  <c r="C22" i="22"/>
  <c r="F6" i="22"/>
  <c r="B5" i="22"/>
  <c r="F4" i="22"/>
  <c r="B3" i="22"/>
  <c r="B2" i="22"/>
  <c r="I22" i="21"/>
  <c r="I15" i="21" s="1"/>
  <c r="B4" i="22" s="1"/>
  <c r="G6" i="21"/>
  <c r="C6" i="21"/>
  <c r="G5" i="21"/>
  <c r="C4" i="21"/>
  <c r="C3" i="21"/>
  <c r="G2" i="21"/>
  <c r="C2" i="21"/>
  <c r="F486" i="3"/>
  <c r="F478" i="3"/>
  <c r="D478" i="3"/>
  <c r="B23" i="33" s="1"/>
  <c r="B478" i="3"/>
  <c r="F449" i="3"/>
  <c r="F448" i="3"/>
  <c r="D447" i="3"/>
  <c r="B37" i="18" s="1"/>
  <c r="B447" i="3"/>
  <c r="D446" i="3"/>
  <c r="B25" i="18" s="1"/>
  <c r="B446" i="3"/>
  <c r="F440" i="3"/>
  <c r="D440" i="3"/>
  <c r="B19" i="35" s="1"/>
  <c r="B440" i="3"/>
  <c r="D387" i="3"/>
  <c r="B31" i="28" s="1"/>
  <c r="B387" i="3"/>
  <c r="F386" i="3"/>
  <c r="F385" i="3"/>
  <c r="D385" i="3"/>
  <c r="B23" i="28" s="1"/>
  <c r="B385" i="3"/>
  <c r="F384" i="3"/>
  <c r="D384" i="3"/>
  <c r="B384" i="3"/>
  <c r="F383" i="3"/>
  <c r="D312" i="3"/>
  <c r="C55" i="34" s="1"/>
  <c r="B312" i="3"/>
  <c r="D311" i="3"/>
  <c r="C51" i="34" s="1"/>
  <c r="B311" i="3"/>
  <c r="D310" i="3"/>
  <c r="C47" i="34" s="1"/>
  <c r="B310" i="3"/>
  <c r="D309" i="3"/>
  <c r="C43" i="34" s="1"/>
  <c r="B309" i="3"/>
  <c r="D308" i="3"/>
  <c r="C39" i="34" s="1"/>
  <c r="B308" i="3"/>
  <c r="D307" i="3"/>
  <c r="C35" i="34" s="1"/>
  <c r="B307" i="3"/>
  <c r="F297" i="3"/>
  <c r="F296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119" i="3"/>
  <c r="D119" i="3"/>
  <c r="B237" i="13" s="1"/>
  <c r="B119" i="3"/>
  <c r="F118" i="3"/>
  <c r="D118" i="3"/>
  <c r="B231" i="13" s="1"/>
  <c r="B118" i="3"/>
  <c r="D116" i="3"/>
  <c r="B211" i="13" s="1"/>
  <c r="B116" i="3"/>
  <c r="B202" i="13"/>
  <c r="D113" i="3"/>
  <c r="B178" i="13" s="1"/>
  <c r="B113" i="3"/>
  <c r="D105" i="3"/>
  <c r="B93" i="13" s="1"/>
  <c r="B105" i="3"/>
  <c r="F77" i="3"/>
  <c r="F76" i="3"/>
  <c r="F58" i="3"/>
  <c r="D58" i="3"/>
  <c r="B179" i="9" s="1"/>
  <c r="B58" i="3"/>
  <c r="F57" i="3"/>
  <c r="D57" i="3"/>
  <c r="B175" i="9" s="1"/>
  <c r="B57" i="3"/>
  <c r="D55" i="3"/>
  <c r="B91" i="9" s="1"/>
  <c r="B55" i="3"/>
  <c r="F44" i="3"/>
  <c r="F38" i="3"/>
  <c r="F20" i="3"/>
  <c r="F19" i="3"/>
  <c r="F14" i="3"/>
  <c r="D14" i="3"/>
  <c r="B14" i="3"/>
  <c r="A666" i="16"/>
  <c r="Q603" i="16"/>
  <c r="K601" i="16" s="1"/>
  <c r="M601" i="16" s="1"/>
  <c r="K586" i="16"/>
  <c r="M586" i="16" s="1"/>
  <c r="M592" i="16" s="1"/>
  <c r="K563" i="16"/>
  <c r="M563" i="16" s="1"/>
  <c r="K560" i="16"/>
  <c r="M560" i="16" s="1"/>
  <c r="K559" i="16"/>
  <c r="M559" i="16" s="1"/>
  <c r="K558" i="16"/>
  <c r="M558" i="16" s="1"/>
  <c r="K557" i="16"/>
  <c r="M557" i="16" s="1"/>
  <c r="K556" i="16"/>
  <c r="M556" i="16" s="1"/>
  <c r="K555" i="16"/>
  <c r="M555" i="16" s="1"/>
  <c r="K543" i="16"/>
  <c r="M543" i="16" s="1"/>
  <c r="M549" i="16" s="1"/>
  <c r="M116" i="16"/>
  <c r="M115" i="16"/>
  <c r="M112" i="16"/>
  <c r="M111" i="16"/>
  <c r="M110" i="16"/>
  <c r="M109" i="16"/>
  <c r="M101" i="16"/>
  <c r="M100" i="16"/>
  <c r="M97" i="16"/>
  <c r="M96" i="16"/>
  <c r="M95" i="16"/>
  <c r="M94" i="16"/>
  <c r="K93" i="16"/>
  <c r="K99" i="16" s="1"/>
  <c r="M75" i="16"/>
  <c r="M74" i="16"/>
  <c r="M73" i="16"/>
  <c r="M72" i="16"/>
  <c r="M65" i="16"/>
  <c r="M64" i="16"/>
  <c r="M63" i="16"/>
  <c r="K52" i="16"/>
  <c r="K51" i="16"/>
  <c r="M51" i="16" s="1"/>
  <c r="K50" i="16"/>
  <c r="M50" i="16" s="1"/>
  <c r="P36" i="16"/>
  <c r="P35" i="16"/>
  <c r="P32" i="16"/>
  <c r="P31" i="16"/>
  <c r="Q31" i="16" s="1"/>
  <c r="K15" i="16"/>
  <c r="M15" i="16" s="1"/>
  <c r="K7" i="16"/>
  <c r="K6" i="16"/>
  <c r="C6" i="16"/>
  <c r="K5" i="16"/>
  <c r="C4" i="16"/>
  <c r="C3" i="16"/>
  <c r="K2" i="16"/>
  <c r="C2" i="16"/>
  <c r="M564" i="16" l="1"/>
  <c r="G447" i="3" s="1"/>
  <c r="M66" i="16"/>
  <c r="G113" i="3" s="1"/>
  <c r="M76" i="16"/>
  <c r="G116" i="3" s="1"/>
  <c r="K53" i="16"/>
  <c r="M53" i="16" s="1"/>
  <c r="M52" i="16"/>
  <c r="D125" i="11"/>
  <c r="J125" i="11" s="1"/>
  <c r="D99" i="11"/>
  <c r="C129" i="13"/>
  <c r="I129" i="13" s="1"/>
  <c r="D124" i="11"/>
  <c r="J124" i="11" s="1"/>
  <c r="D96" i="11"/>
  <c r="D64" i="12" s="1"/>
  <c r="J64" i="12" s="1"/>
  <c r="C127" i="13"/>
  <c r="I127" i="13" s="1"/>
  <c r="D123" i="11"/>
  <c r="C144" i="12" s="1"/>
  <c r="D94" i="11"/>
  <c r="C128" i="13"/>
  <c r="I128" i="13" s="1"/>
  <c r="D95" i="11"/>
  <c r="D63" i="12" s="1"/>
  <c r="J63" i="12" s="1"/>
  <c r="C131" i="13"/>
  <c r="I131" i="13" s="1"/>
  <c r="D98" i="11"/>
  <c r="D66" i="12" s="1"/>
  <c r="J66" i="12" s="1"/>
  <c r="C132" i="13"/>
  <c r="I132" i="13" s="1"/>
  <c r="D67" i="12"/>
  <c r="J67" i="12" s="1"/>
  <c r="C55" i="6"/>
  <c r="K38" i="16"/>
  <c r="K37" i="16"/>
  <c r="M37" i="16" s="1"/>
  <c r="C270" i="10"/>
  <c r="C52" i="12"/>
  <c r="G52" i="12" s="1"/>
  <c r="C274" i="10"/>
  <c r="C56" i="12"/>
  <c r="G56" i="12" s="1"/>
  <c r="G133" i="12"/>
  <c r="G76" i="12"/>
  <c r="G135" i="12"/>
  <c r="G79" i="12"/>
  <c r="G139" i="12"/>
  <c r="G83" i="12"/>
  <c r="C271" i="10"/>
  <c r="C53" i="12"/>
  <c r="G53" i="12" s="1"/>
  <c r="B134" i="12"/>
  <c r="B77" i="12"/>
  <c r="J61" i="11"/>
  <c r="C76" i="12"/>
  <c r="I77" i="12"/>
  <c r="C78" i="12"/>
  <c r="I78" i="12" s="1"/>
  <c r="J63" i="11"/>
  <c r="I80" i="12"/>
  <c r="C137" i="12"/>
  <c r="C81" i="12"/>
  <c r="I81" i="12" s="1"/>
  <c r="I82" i="12"/>
  <c r="C139" i="12"/>
  <c r="C83" i="12"/>
  <c r="I84" i="12"/>
  <c r="I85" i="12"/>
  <c r="I86" i="12"/>
  <c r="I87" i="12"/>
  <c r="E133" i="12"/>
  <c r="E76" i="12"/>
  <c r="E135" i="12"/>
  <c r="E79" i="12"/>
  <c r="C276" i="10"/>
  <c r="C100" i="13"/>
  <c r="F105" i="3" s="1"/>
  <c r="C121" i="13"/>
  <c r="F106" i="3" s="1"/>
  <c r="G51" i="11"/>
  <c r="C89" i="13"/>
  <c r="I89" i="13" s="1"/>
  <c r="G219" i="9"/>
  <c r="H257" i="9" s="1"/>
  <c r="L136" i="9"/>
  <c r="F55" i="3" s="1"/>
  <c r="G210" i="9"/>
  <c r="F257" i="9" s="1"/>
  <c r="C51" i="9"/>
  <c r="F53" i="3" s="1"/>
  <c r="D144" i="10"/>
  <c r="F72" i="3" s="1"/>
  <c r="C21" i="33"/>
  <c r="F477" i="3" s="1"/>
  <c r="F102" i="3"/>
  <c r="G148" i="12"/>
  <c r="G146" i="12"/>
  <c r="B147" i="12"/>
  <c r="E146" i="12"/>
  <c r="B145" i="12"/>
  <c r="C150" i="12"/>
  <c r="G147" i="12"/>
  <c r="E149" i="12"/>
  <c r="C227" i="13"/>
  <c r="C229" i="13" s="1"/>
  <c r="A1" i="7"/>
  <c r="A1" i="14"/>
  <c r="A1" i="18"/>
  <c r="A1" i="11"/>
  <c r="G34" i="28"/>
  <c r="F387" i="3" s="1"/>
  <c r="F446" i="3"/>
  <c r="A1" i="19"/>
  <c r="C173" i="9"/>
  <c r="F56" i="3" s="1"/>
  <c r="C253" i="9"/>
  <c r="A1" i="33"/>
  <c r="C298" i="9"/>
  <c r="F65" i="3" s="1"/>
  <c r="C46" i="22"/>
  <c r="D46" i="22"/>
  <c r="A1" i="31"/>
  <c r="A1" i="34"/>
  <c r="A1" i="29"/>
  <c r="B6" i="33"/>
  <c r="B6" i="36"/>
  <c r="G7" i="9"/>
  <c r="J7" i="36"/>
  <c r="I2" i="9"/>
  <c r="L2" i="36"/>
  <c r="B5" i="3"/>
  <c r="K11" i="3" s="1"/>
  <c r="C5" i="21"/>
  <c r="B4" i="18"/>
  <c r="B4" i="36"/>
  <c r="A1" i="6"/>
  <c r="A1" i="10"/>
  <c r="B3" i="26"/>
  <c r="B3" i="36"/>
  <c r="B2" i="26"/>
  <c r="B2" i="36"/>
  <c r="J5" i="33"/>
  <c r="J5" i="36"/>
  <c r="A1" i="9"/>
  <c r="A1" i="12"/>
  <c r="A1" i="13"/>
  <c r="A1" i="26"/>
  <c r="A1" i="28"/>
  <c r="A1" i="27"/>
  <c r="A1" i="35"/>
  <c r="M17" i="16"/>
  <c r="G14" i="3" s="1"/>
  <c r="G124" i="12"/>
  <c r="I78" i="13"/>
  <c r="G123" i="12"/>
  <c r="G21" i="11"/>
  <c r="G19" i="11"/>
  <c r="G52" i="11"/>
  <c r="G31" i="11"/>
  <c r="G55" i="11"/>
  <c r="C65" i="13"/>
  <c r="F103" i="3" s="1"/>
  <c r="K25" i="13"/>
  <c r="F116" i="3"/>
  <c r="I81" i="13"/>
  <c r="I250" i="13"/>
  <c r="I247" i="13"/>
  <c r="C26" i="13"/>
  <c r="K26" i="13" s="1"/>
  <c r="I248" i="13"/>
  <c r="I246" i="13"/>
  <c r="F113" i="3"/>
  <c r="K22" i="13"/>
  <c r="K19" i="13"/>
  <c r="K30" i="13"/>
  <c r="I88" i="13"/>
  <c r="I72" i="13"/>
  <c r="C20" i="13"/>
  <c r="K20" i="13" s="1"/>
  <c r="I251" i="13"/>
  <c r="K28" i="13"/>
  <c r="K21" i="13"/>
  <c r="I74" i="13"/>
  <c r="I80" i="13"/>
  <c r="K23" i="13"/>
  <c r="I77" i="13"/>
  <c r="K24" i="13"/>
  <c r="I76" i="13"/>
  <c r="K27" i="13"/>
  <c r="I71" i="13"/>
  <c r="I75" i="13"/>
  <c r="I79" i="13"/>
  <c r="I82" i="13"/>
  <c r="C29" i="13"/>
  <c r="K29" i="13" s="1"/>
  <c r="I73" i="13"/>
  <c r="F25" i="3"/>
  <c r="J69" i="11"/>
  <c r="J64" i="11"/>
  <c r="E145" i="12"/>
  <c r="J67" i="11"/>
  <c r="J71" i="11"/>
  <c r="J95" i="11"/>
  <c r="J100" i="11"/>
  <c r="E137" i="12"/>
  <c r="B140" i="12"/>
  <c r="J72" i="11"/>
  <c r="G122" i="12"/>
  <c r="C133" i="12"/>
  <c r="G136" i="12"/>
  <c r="B138" i="12"/>
  <c r="C140" i="12"/>
  <c r="J70" i="11"/>
  <c r="B144" i="12"/>
  <c r="G145" i="12"/>
  <c r="E148" i="12"/>
  <c r="B150" i="12"/>
  <c r="E139" i="12"/>
  <c r="E150" i="12"/>
  <c r="B136" i="12"/>
  <c r="G137" i="12"/>
  <c r="E140" i="12"/>
  <c r="B151" i="12"/>
  <c r="E134" i="12"/>
  <c r="G151" i="12"/>
  <c r="J66" i="11"/>
  <c r="E138" i="12"/>
  <c r="B139" i="12"/>
  <c r="G140" i="12"/>
  <c r="E144" i="12"/>
  <c r="B146" i="12"/>
  <c r="C147" i="12"/>
  <c r="C151" i="12"/>
  <c r="B135" i="12"/>
  <c r="B133" i="12"/>
  <c r="C134" i="12"/>
  <c r="E136" i="12"/>
  <c r="G138" i="12"/>
  <c r="G144" i="12"/>
  <c r="C146" i="12"/>
  <c r="E147" i="12"/>
  <c r="B149" i="12"/>
  <c r="G150" i="12"/>
  <c r="C136" i="12"/>
  <c r="G134" i="12"/>
  <c r="C135" i="12"/>
  <c r="J65" i="11"/>
  <c r="J97" i="11"/>
  <c r="J101" i="11"/>
  <c r="G127" i="12"/>
  <c r="E151" i="12"/>
  <c r="J62" i="11"/>
  <c r="B137" i="12"/>
  <c r="J68" i="11"/>
  <c r="C145" i="12"/>
  <c r="J96" i="11"/>
  <c r="B148" i="12"/>
  <c r="G149" i="12"/>
  <c r="C138" i="12"/>
  <c r="K98" i="16"/>
  <c r="M98" i="16" s="1"/>
  <c r="G312" i="3"/>
  <c r="C218" i="10"/>
  <c r="F75" i="3" s="1"/>
  <c r="C161" i="10"/>
  <c r="F73" i="3" s="1"/>
  <c r="G5" i="14"/>
  <c r="G5" i="6"/>
  <c r="G7" i="7"/>
  <c r="B6" i="13"/>
  <c r="B2" i="33"/>
  <c r="B6" i="14"/>
  <c r="B4" i="29"/>
  <c r="J5" i="18"/>
  <c r="G5" i="10"/>
  <c r="J5" i="31"/>
  <c r="B4" i="35"/>
  <c r="B6" i="10"/>
  <c r="B6" i="31"/>
  <c r="G5" i="11"/>
  <c r="G5" i="7"/>
  <c r="B6" i="11"/>
  <c r="J5" i="28"/>
  <c r="B4" i="6"/>
  <c r="B6" i="7"/>
  <c r="B2" i="9"/>
  <c r="G5" i="13"/>
  <c r="M5" i="27"/>
  <c r="L2" i="35"/>
  <c r="L2" i="29"/>
  <c r="L2" i="19"/>
  <c r="L2" i="34"/>
  <c r="I2" i="6"/>
  <c r="L2" i="18"/>
  <c r="N2" i="27"/>
  <c r="L2" i="28"/>
  <c r="L2" i="31"/>
  <c r="I2" i="14"/>
  <c r="I2" i="13"/>
  <c r="I2" i="11"/>
  <c r="I2" i="10"/>
  <c r="I2" i="7"/>
  <c r="L2" i="33"/>
  <c r="I2" i="26"/>
  <c r="I2" i="12"/>
  <c r="B3" i="19"/>
  <c r="B3" i="34"/>
  <c r="B3" i="6"/>
  <c r="B3" i="18"/>
  <c r="B3" i="27"/>
  <c r="B3" i="28"/>
  <c r="B3" i="31"/>
  <c r="B3" i="14"/>
  <c r="B3" i="13"/>
  <c r="B3" i="11"/>
  <c r="B3" i="10"/>
  <c r="B3" i="7"/>
  <c r="B3" i="33"/>
  <c r="B3" i="9"/>
  <c r="B3" i="35"/>
  <c r="B3" i="29"/>
  <c r="B3" i="12"/>
  <c r="B4" i="34"/>
  <c r="J7" i="33"/>
  <c r="B4" i="19"/>
  <c r="B2" i="7"/>
  <c r="G7" i="10"/>
  <c r="G7" i="11"/>
  <c r="B4" i="12"/>
  <c r="G7" i="13"/>
  <c r="G7" i="14"/>
  <c r="B4" i="26"/>
  <c r="J7" i="31"/>
  <c r="J5" i="34"/>
  <c r="B6" i="28"/>
  <c r="B6" i="27"/>
  <c r="B6" i="18"/>
  <c r="J5" i="19"/>
  <c r="B6" i="6"/>
  <c r="B4" i="9"/>
  <c r="B2" i="10"/>
  <c r="B2" i="11"/>
  <c r="B2" i="13"/>
  <c r="B2" i="14"/>
  <c r="B2" i="31"/>
  <c r="B6" i="34"/>
  <c r="J7" i="28"/>
  <c r="M7" i="27"/>
  <c r="J5" i="29"/>
  <c r="J5" i="35"/>
  <c r="J7" i="18"/>
  <c r="B6" i="19"/>
  <c r="G7" i="6"/>
  <c r="G5" i="12"/>
  <c r="G5" i="26"/>
  <c r="J7" i="34"/>
  <c r="B2" i="28"/>
  <c r="B2" i="27"/>
  <c r="B6" i="29"/>
  <c r="B6" i="35"/>
  <c r="B2" i="18"/>
  <c r="B4" i="33"/>
  <c r="J7" i="19"/>
  <c r="B2" i="6"/>
  <c r="B4" i="7"/>
  <c r="G5" i="9"/>
  <c r="B6" i="12"/>
  <c r="B6" i="26"/>
  <c r="B2" i="34"/>
  <c r="J7" i="29"/>
  <c r="J7" i="35"/>
  <c r="B2" i="19"/>
  <c r="B6" i="9"/>
  <c r="B4" i="10"/>
  <c r="B4" i="11"/>
  <c r="G7" i="12"/>
  <c r="B4" i="13"/>
  <c r="B4" i="14"/>
  <c r="G7" i="26"/>
  <c r="B4" i="31"/>
  <c r="B2" i="29"/>
  <c r="B2" i="35"/>
  <c r="B2" i="12"/>
  <c r="B4" i="28"/>
  <c r="B4" i="27"/>
  <c r="Q600" i="16"/>
  <c r="K598" i="16" s="1"/>
  <c r="M598" i="16" s="1"/>
  <c r="K35" i="16"/>
  <c r="M35" i="16" s="1"/>
  <c r="M93" i="16"/>
  <c r="G309" i="3"/>
  <c r="G385" i="3"/>
  <c r="G387" i="3"/>
  <c r="R594" i="16"/>
  <c r="G446" i="3"/>
  <c r="K36" i="16"/>
  <c r="M36" i="16" s="1"/>
  <c r="M114" i="16"/>
  <c r="G308" i="3"/>
  <c r="M108" i="16"/>
  <c r="G55" i="3"/>
  <c r="G384" i="3"/>
  <c r="K600" i="16"/>
  <c r="M600" i="16" s="1"/>
  <c r="M609" i="16" l="1"/>
  <c r="K54" i="16"/>
  <c r="M54" i="16" s="1"/>
  <c r="M57" i="16" s="1"/>
  <c r="G58" i="3" s="1"/>
  <c r="K39" i="16"/>
  <c r="M39" i="16" s="1"/>
  <c r="M38" i="16"/>
  <c r="J99" i="11"/>
  <c r="C149" i="12"/>
  <c r="J123" i="11"/>
  <c r="I129" i="11" s="1"/>
  <c r="E132" i="11" s="1"/>
  <c r="I135" i="12"/>
  <c r="D62" i="12"/>
  <c r="J62" i="12" s="1"/>
  <c r="I72" i="12" s="1"/>
  <c r="J94" i="11"/>
  <c r="C148" i="12"/>
  <c r="I148" i="12" s="1"/>
  <c r="C137" i="13"/>
  <c r="J98" i="11"/>
  <c r="C5" i="16"/>
  <c r="H312" i="3"/>
  <c r="I133" i="12"/>
  <c r="G105" i="3"/>
  <c r="I83" i="12"/>
  <c r="I90" i="11"/>
  <c r="I139" i="12"/>
  <c r="I79" i="12"/>
  <c r="G58" i="12"/>
  <c r="C110" i="12" s="1"/>
  <c r="I76" i="12"/>
  <c r="C256" i="13"/>
  <c r="F120" i="3" s="1"/>
  <c r="C91" i="13"/>
  <c r="C36" i="13"/>
  <c r="G57" i="11"/>
  <c r="C109" i="11" s="1"/>
  <c r="F115" i="3"/>
  <c r="G253" i="9"/>
  <c r="L257" i="9" s="1"/>
  <c r="C260" i="9" s="1"/>
  <c r="D196" i="13"/>
  <c r="F109" i="3"/>
  <c r="D195" i="13"/>
  <c r="F27" i="3"/>
  <c r="F28" i="3"/>
  <c r="B5" i="5"/>
  <c r="B5" i="36" s="1"/>
  <c r="I146" i="12"/>
  <c r="I149" i="12"/>
  <c r="M99" i="16"/>
  <c r="B5" i="32"/>
  <c r="G307" i="3"/>
  <c r="C290" i="10"/>
  <c r="F81" i="3" s="1"/>
  <c r="M113" i="16"/>
  <c r="C281" i="10"/>
  <c r="E119" i="11"/>
  <c r="C132" i="11" s="1"/>
  <c r="F117" i="3"/>
  <c r="F108" i="3"/>
  <c r="B25" i="6"/>
  <c r="F39" i="3"/>
  <c r="F40" i="3"/>
  <c r="I138" i="12"/>
  <c r="I137" i="12"/>
  <c r="C129" i="12"/>
  <c r="I144" i="12"/>
  <c r="I151" i="12"/>
  <c r="I150" i="12"/>
  <c r="I145" i="12"/>
  <c r="I147" i="12"/>
  <c r="I134" i="12"/>
  <c r="I140" i="12"/>
  <c r="I136" i="12"/>
  <c r="H253" i="3" l="1"/>
  <c r="I253" i="3" s="1"/>
  <c r="H247" i="3"/>
  <c r="I247" i="3" s="1"/>
  <c r="H240" i="3"/>
  <c r="I240" i="3" s="1"/>
  <c r="H232" i="3"/>
  <c r="I232" i="3" s="1"/>
  <c r="H224" i="3"/>
  <c r="I224" i="3" s="1"/>
  <c r="H207" i="3"/>
  <c r="I207" i="3" s="1"/>
  <c r="H192" i="3"/>
  <c r="I192" i="3" s="1"/>
  <c r="H184" i="3"/>
  <c r="I184" i="3" s="1"/>
  <c r="H174" i="3"/>
  <c r="I174" i="3" s="1"/>
  <c r="H168" i="3"/>
  <c r="I168" i="3" s="1"/>
  <c r="H161" i="3"/>
  <c r="I161" i="3" s="1"/>
  <c r="H148" i="3"/>
  <c r="I148" i="3" s="1"/>
  <c r="H141" i="3"/>
  <c r="I141" i="3" s="1"/>
  <c r="H136" i="3"/>
  <c r="I136" i="3" s="1"/>
  <c r="H93" i="3"/>
  <c r="H239" i="3"/>
  <c r="I239" i="3" s="1"/>
  <c r="H215" i="3"/>
  <c r="I215" i="3" s="1"/>
  <c r="H206" i="3"/>
  <c r="I206" i="3" s="1"/>
  <c r="H198" i="3"/>
  <c r="I198" i="3" s="1"/>
  <c r="H191" i="3"/>
  <c r="I191" i="3" s="1"/>
  <c r="H182" i="3"/>
  <c r="I182" i="3" s="1"/>
  <c r="H160" i="3"/>
  <c r="I160" i="3" s="1"/>
  <c r="H154" i="3"/>
  <c r="I154" i="3" s="1"/>
  <c r="H135" i="3"/>
  <c r="I135" i="3" s="1"/>
  <c r="H88" i="3"/>
  <c r="H238" i="3"/>
  <c r="I238" i="3" s="1"/>
  <c r="H222" i="3"/>
  <c r="I222" i="3" s="1"/>
  <c r="H213" i="3"/>
  <c r="I213" i="3" s="1"/>
  <c r="H197" i="3"/>
  <c r="I197" i="3" s="1"/>
  <c r="H181" i="3"/>
  <c r="I181" i="3" s="1"/>
  <c r="H172" i="3"/>
  <c r="I172" i="3" s="1"/>
  <c r="H159" i="3"/>
  <c r="I159" i="3" s="1"/>
  <c r="H153" i="3"/>
  <c r="I153" i="3" s="1"/>
  <c r="H140" i="3"/>
  <c r="I140" i="3" s="1"/>
  <c r="H86" i="3"/>
  <c r="H257" i="3"/>
  <c r="I257" i="3" s="1"/>
  <c r="H251" i="3"/>
  <c r="I251" i="3" s="1"/>
  <c r="H245" i="3"/>
  <c r="I245" i="3" s="1"/>
  <c r="H237" i="3"/>
  <c r="I237" i="3" s="1"/>
  <c r="H221" i="3"/>
  <c r="I221" i="3" s="1"/>
  <c r="H212" i="3"/>
  <c r="I212" i="3" s="1"/>
  <c r="H190" i="3"/>
  <c r="I190" i="3" s="1"/>
  <c r="H180" i="3"/>
  <c r="I180" i="3" s="1"/>
  <c r="H171" i="3"/>
  <c r="I171" i="3" s="1"/>
  <c r="H139" i="3"/>
  <c r="I139" i="3" s="1"/>
  <c r="H134" i="3"/>
  <c r="I134" i="3" s="1"/>
  <c r="H256" i="3"/>
  <c r="I256" i="3" s="1"/>
  <c r="H250" i="3"/>
  <c r="I250" i="3" s="1"/>
  <c r="H244" i="3"/>
  <c r="I244" i="3" s="1"/>
  <c r="H236" i="3"/>
  <c r="I236" i="3" s="1"/>
  <c r="H228" i="3"/>
  <c r="I228" i="3" s="1"/>
  <c r="H220" i="3"/>
  <c r="I220" i="3" s="1"/>
  <c r="H211" i="3"/>
  <c r="I211" i="3" s="1"/>
  <c r="H196" i="3"/>
  <c r="I196" i="3" s="1"/>
  <c r="H189" i="3"/>
  <c r="I189" i="3" s="1"/>
  <c r="H179" i="3"/>
  <c r="I179" i="3" s="1"/>
  <c r="H164" i="3"/>
  <c r="I164" i="3" s="1"/>
  <c r="H158" i="3"/>
  <c r="I158" i="3" s="1"/>
  <c r="H249" i="3"/>
  <c r="I249" i="3" s="1"/>
  <c r="H243" i="3"/>
  <c r="I243" i="3" s="1"/>
  <c r="H235" i="3"/>
  <c r="I235" i="3" s="1"/>
  <c r="H227" i="3"/>
  <c r="I227" i="3" s="1"/>
  <c r="H219" i="3"/>
  <c r="I219" i="3" s="1"/>
  <c r="H195" i="3"/>
  <c r="I195" i="3" s="1"/>
  <c r="H187" i="3"/>
  <c r="I187" i="3" s="1"/>
  <c r="H177" i="3"/>
  <c r="I177" i="3" s="1"/>
  <c r="H170" i="3"/>
  <c r="I170" i="3" s="1"/>
  <c r="H163" i="3"/>
  <c r="I163" i="3" s="1"/>
  <c r="H157" i="3"/>
  <c r="I157" i="3" s="1"/>
  <c r="H138" i="3"/>
  <c r="I138" i="3" s="1"/>
  <c r="H96" i="3"/>
  <c r="H255" i="3"/>
  <c r="I255" i="3" s="1"/>
  <c r="H248" i="3"/>
  <c r="I248" i="3" s="1"/>
  <c r="H242" i="3"/>
  <c r="I242" i="3" s="1"/>
  <c r="H234" i="3"/>
  <c r="I234" i="3" s="1"/>
  <c r="H226" i="3"/>
  <c r="I226" i="3" s="1"/>
  <c r="H209" i="3"/>
  <c r="I209" i="3" s="1"/>
  <c r="H186" i="3"/>
  <c r="I186" i="3" s="1"/>
  <c r="H176" i="3"/>
  <c r="I176" i="3" s="1"/>
  <c r="H169" i="3"/>
  <c r="I169" i="3" s="1"/>
  <c r="H156" i="3"/>
  <c r="I156" i="3" s="1"/>
  <c r="H137" i="3"/>
  <c r="I137" i="3" s="1"/>
  <c r="H95" i="3"/>
  <c r="H254" i="3"/>
  <c r="I254" i="3" s="1"/>
  <c r="H241" i="3"/>
  <c r="I241" i="3" s="1"/>
  <c r="H233" i="3"/>
  <c r="I233" i="3" s="1"/>
  <c r="H225" i="3"/>
  <c r="I225" i="3" s="1"/>
  <c r="H208" i="3"/>
  <c r="I208" i="3" s="1"/>
  <c r="H200" i="3"/>
  <c r="I200" i="3" s="1"/>
  <c r="H194" i="3"/>
  <c r="I194" i="3" s="1"/>
  <c r="H185" i="3"/>
  <c r="I185" i="3" s="1"/>
  <c r="H175" i="3"/>
  <c r="I175" i="3" s="1"/>
  <c r="H162" i="3"/>
  <c r="I162" i="3" s="1"/>
  <c r="H155" i="3"/>
  <c r="I155" i="3" s="1"/>
  <c r="H142" i="3"/>
  <c r="I142" i="3" s="1"/>
  <c r="H94" i="3"/>
  <c r="H145" i="3"/>
  <c r="I145" i="3" s="1"/>
  <c r="H217" i="3"/>
  <c r="I217" i="3" s="1"/>
  <c r="H167" i="3"/>
  <c r="I167" i="3" s="1"/>
  <c r="H230" i="3"/>
  <c r="I230" i="3" s="1"/>
  <c r="H149" i="3"/>
  <c r="I149" i="3" s="1"/>
  <c r="H252" i="3"/>
  <c r="I252" i="3" s="1"/>
  <c r="H231" i="3"/>
  <c r="I231" i="3" s="1"/>
  <c r="H205" i="3"/>
  <c r="I205" i="3" s="1"/>
  <c r="H166" i="3"/>
  <c r="I166" i="3" s="1"/>
  <c r="H144" i="3"/>
  <c r="I144" i="3" s="1"/>
  <c r="H216" i="3"/>
  <c r="I216" i="3" s="1"/>
  <c r="H146" i="3"/>
  <c r="I146" i="3" s="1"/>
  <c r="H152" i="3"/>
  <c r="I152" i="3" s="1"/>
  <c r="H201" i="3"/>
  <c r="I201" i="3" s="1"/>
  <c r="H147" i="3"/>
  <c r="I147" i="3" s="1"/>
  <c r="H203" i="3"/>
  <c r="I203" i="3" s="1"/>
  <c r="H229" i="3"/>
  <c r="I229" i="3" s="1"/>
  <c r="H150" i="3"/>
  <c r="I150" i="3" s="1"/>
  <c r="H151" i="3"/>
  <c r="I151" i="3" s="1"/>
  <c r="H204" i="3"/>
  <c r="I204" i="3" s="1"/>
  <c r="H202" i="3"/>
  <c r="I202" i="3" s="1"/>
  <c r="H218" i="3"/>
  <c r="I218" i="3" s="1"/>
  <c r="H210" i="3"/>
  <c r="I210" i="3" s="1"/>
  <c r="H223" i="3"/>
  <c r="I223" i="3" s="1"/>
  <c r="H21" i="3"/>
  <c r="I21" i="3" s="1"/>
  <c r="M44" i="16"/>
  <c r="G57" i="3" s="1"/>
  <c r="H57" i="3" s="1"/>
  <c r="I57" i="3" s="1"/>
  <c r="M117" i="16"/>
  <c r="G119" i="3" s="1"/>
  <c r="H119" i="3" s="1"/>
  <c r="I119" i="3" s="1"/>
  <c r="M102" i="16"/>
  <c r="G118" i="3" s="1"/>
  <c r="H118" i="3" s="1"/>
  <c r="I118" i="3" s="1"/>
  <c r="H129" i="3"/>
  <c r="H128" i="3"/>
  <c r="I128" i="3" s="1"/>
  <c r="I104" i="11"/>
  <c r="E281" i="10" s="1"/>
  <c r="H46" i="3"/>
  <c r="I46" i="3" s="1"/>
  <c r="H313" i="3"/>
  <c r="I313" i="3" s="1"/>
  <c r="H47" i="3"/>
  <c r="I47" i="3" s="1"/>
  <c r="H384" i="3"/>
  <c r="I384" i="3" s="1"/>
  <c r="H25" i="6"/>
  <c r="C27" i="6" s="1"/>
  <c r="F26" i="3" s="1"/>
  <c r="H34" i="3"/>
  <c r="I34" i="3" s="1"/>
  <c r="H33" i="3"/>
  <c r="I33" i="3" s="1"/>
  <c r="H116" i="3"/>
  <c r="I116" i="3" s="1"/>
  <c r="H311" i="3"/>
  <c r="I311" i="3" s="1"/>
  <c r="H307" i="3"/>
  <c r="I307" i="3" s="1"/>
  <c r="H105" i="3"/>
  <c r="I105" i="3" s="1"/>
  <c r="H113" i="3"/>
  <c r="I113" i="3" s="1"/>
  <c r="H392" i="3"/>
  <c r="I392" i="3" s="1"/>
  <c r="H58" i="3"/>
  <c r="I58" i="3" s="1"/>
  <c r="I312" i="3"/>
  <c r="H309" i="3"/>
  <c r="I309" i="3" s="1"/>
  <c r="H55" i="3"/>
  <c r="I55" i="3" s="1"/>
  <c r="H14" i="3"/>
  <c r="I14" i="3" s="1"/>
  <c r="I15" i="3" s="1"/>
  <c r="AA6" i="4" s="1"/>
  <c r="H387" i="3"/>
  <c r="I387" i="3" s="1"/>
  <c r="H435" i="3"/>
  <c r="I435" i="3" s="1"/>
  <c r="H429" i="3"/>
  <c r="I429" i="3" s="1"/>
  <c r="K429" i="3" s="1"/>
  <c r="H425" i="3"/>
  <c r="I425" i="3" s="1"/>
  <c r="K425" i="3" s="1"/>
  <c r="H413" i="3"/>
  <c r="I413" i="3" s="1"/>
  <c r="H379" i="3"/>
  <c r="I379" i="3" s="1"/>
  <c r="K379" i="3" s="1"/>
  <c r="H375" i="3"/>
  <c r="I375" i="3" s="1"/>
  <c r="K375" i="3" s="1"/>
  <c r="H370" i="3"/>
  <c r="I370" i="3" s="1"/>
  <c r="K370" i="3" s="1"/>
  <c r="H366" i="3"/>
  <c r="I366" i="3" s="1"/>
  <c r="K366" i="3" s="1"/>
  <c r="H362" i="3"/>
  <c r="I362" i="3" s="1"/>
  <c r="K362" i="3" s="1"/>
  <c r="H358" i="3"/>
  <c r="I358" i="3" s="1"/>
  <c r="K358" i="3" s="1"/>
  <c r="H354" i="3"/>
  <c r="I354" i="3" s="1"/>
  <c r="K354" i="3" s="1"/>
  <c r="H349" i="3"/>
  <c r="I349" i="3" s="1"/>
  <c r="K349" i="3" s="1"/>
  <c r="H345" i="3"/>
  <c r="I345" i="3" s="1"/>
  <c r="K345" i="3" s="1"/>
  <c r="H341" i="3"/>
  <c r="I341" i="3" s="1"/>
  <c r="K341" i="3" s="1"/>
  <c r="H336" i="3"/>
  <c r="I336" i="3" s="1"/>
  <c r="K336" i="3" s="1"/>
  <c r="H332" i="3"/>
  <c r="I332" i="3" s="1"/>
  <c r="K332" i="3" s="1"/>
  <c r="H327" i="3"/>
  <c r="I327" i="3" s="1"/>
  <c r="K327" i="3" s="1"/>
  <c r="H324" i="3"/>
  <c r="I324" i="3" s="1"/>
  <c r="K324" i="3" s="1"/>
  <c r="H321" i="3"/>
  <c r="I321" i="3" s="1"/>
  <c r="K321" i="3" s="1"/>
  <c r="H376" i="3"/>
  <c r="I376" i="3" s="1"/>
  <c r="K376" i="3" s="1"/>
  <c r="H328" i="3"/>
  <c r="I328" i="3" s="1"/>
  <c r="K328" i="3" s="1"/>
  <c r="H322" i="3"/>
  <c r="I322" i="3" s="1"/>
  <c r="K322" i="3" s="1"/>
  <c r="H432" i="3"/>
  <c r="I432" i="3" s="1"/>
  <c r="K432" i="3" s="1"/>
  <c r="H428" i="3"/>
  <c r="I428" i="3" s="1"/>
  <c r="K428" i="3" s="1"/>
  <c r="H424" i="3"/>
  <c r="I424" i="3" s="1"/>
  <c r="K424" i="3" s="1"/>
  <c r="H416" i="3"/>
  <c r="I416" i="3" s="1"/>
  <c r="K416" i="3" s="1"/>
  <c r="H412" i="3"/>
  <c r="I412" i="3" s="1"/>
  <c r="K412" i="3" s="1"/>
  <c r="H378" i="3"/>
  <c r="I378" i="3" s="1"/>
  <c r="K378" i="3" s="1"/>
  <c r="H374" i="3"/>
  <c r="I374" i="3" s="1"/>
  <c r="K374" i="3" s="1"/>
  <c r="H369" i="3"/>
  <c r="I369" i="3" s="1"/>
  <c r="K369" i="3" s="1"/>
  <c r="H365" i="3"/>
  <c r="I365" i="3" s="1"/>
  <c r="K365" i="3" s="1"/>
  <c r="H361" i="3"/>
  <c r="I361" i="3" s="1"/>
  <c r="K361" i="3" s="1"/>
  <c r="H357" i="3"/>
  <c r="I357" i="3" s="1"/>
  <c r="K357" i="3" s="1"/>
  <c r="H353" i="3"/>
  <c r="I353" i="3" s="1"/>
  <c r="K353" i="3" s="1"/>
  <c r="H348" i="3"/>
  <c r="I348" i="3" s="1"/>
  <c r="K348" i="3" s="1"/>
  <c r="H344" i="3"/>
  <c r="I344" i="3" s="1"/>
  <c r="K344" i="3" s="1"/>
  <c r="H335" i="3"/>
  <c r="I335" i="3" s="1"/>
  <c r="K335" i="3" s="1"/>
  <c r="H331" i="3"/>
  <c r="I331" i="3" s="1"/>
  <c r="K331" i="3" s="1"/>
  <c r="H326" i="3"/>
  <c r="I326" i="3" s="1"/>
  <c r="K326" i="3" s="1"/>
  <c r="H323" i="3"/>
  <c r="I323" i="3" s="1"/>
  <c r="K323" i="3" s="1"/>
  <c r="H320" i="3"/>
  <c r="I320" i="3" s="1"/>
  <c r="K320" i="3" s="1"/>
  <c r="H363" i="3"/>
  <c r="I363" i="3" s="1"/>
  <c r="K363" i="3" s="1"/>
  <c r="H431" i="3"/>
  <c r="I431" i="3" s="1"/>
  <c r="K431" i="3" s="1"/>
  <c r="H423" i="3"/>
  <c r="I423" i="3" s="1"/>
  <c r="K423" i="3" s="1"/>
  <c r="H415" i="3"/>
  <c r="I415" i="3" s="1"/>
  <c r="K415" i="3" s="1"/>
  <c r="H411" i="3"/>
  <c r="I411" i="3" s="1"/>
  <c r="K411" i="3" s="1"/>
  <c r="H377" i="3"/>
  <c r="I377" i="3" s="1"/>
  <c r="K377" i="3" s="1"/>
  <c r="H373" i="3"/>
  <c r="I373" i="3" s="1"/>
  <c r="K373" i="3" s="1"/>
  <c r="H368" i="3"/>
  <c r="I368" i="3" s="1"/>
  <c r="K368" i="3" s="1"/>
  <c r="H364" i="3"/>
  <c r="I364" i="3" s="1"/>
  <c r="K364" i="3" s="1"/>
  <c r="H360" i="3"/>
  <c r="I360" i="3" s="1"/>
  <c r="K360" i="3" s="1"/>
  <c r="H356" i="3"/>
  <c r="I356" i="3" s="1"/>
  <c r="K356" i="3" s="1"/>
  <c r="H352" i="3"/>
  <c r="I352" i="3" s="1"/>
  <c r="K352" i="3" s="1"/>
  <c r="H347" i="3"/>
  <c r="I347" i="3" s="1"/>
  <c r="K347" i="3" s="1"/>
  <c r="H343" i="3"/>
  <c r="I343" i="3" s="1"/>
  <c r="K343" i="3" s="1"/>
  <c r="H338" i="3"/>
  <c r="I338" i="3" s="1"/>
  <c r="K338" i="3" s="1"/>
  <c r="H334" i="3"/>
  <c r="I334" i="3" s="1"/>
  <c r="K334" i="3" s="1"/>
  <c r="H330" i="3"/>
  <c r="I330" i="3" s="1"/>
  <c r="K330" i="3" s="1"/>
  <c r="H325" i="3"/>
  <c r="I325" i="3" s="1"/>
  <c r="K325" i="3" s="1"/>
  <c r="H319" i="3"/>
  <c r="I319" i="3" s="1"/>
  <c r="K319" i="3" s="1"/>
  <c r="H430" i="3"/>
  <c r="I430" i="3" s="1"/>
  <c r="K430" i="3" s="1"/>
  <c r="H426" i="3"/>
  <c r="I426" i="3" s="1"/>
  <c r="K426" i="3" s="1"/>
  <c r="H422" i="3"/>
  <c r="I422" i="3" s="1"/>
  <c r="K422" i="3" s="1"/>
  <c r="H414" i="3"/>
  <c r="I414" i="3" s="1"/>
  <c r="H410" i="3"/>
  <c r="I410" i="3" s="1"/>
  <c r="H367" i="3"/>
  <c r="I367" i="3" s="1"/>
  <c r="K367" i="3" s="1"/>
  <c r="H359" i="3"/>
  <c r="I359" i="3" s="1"/>
  <c r="K359" i="3" s="1"/>
  <c r="H355" i="3"/>
  <c r="I355" i="3" s="1"/>
  <c r="K355" i="3" s="1"/>
  <c r="H350" i="3"/>
  <c r="I350" i="3" s="1"/>
  <c r="K350" i="3" s="1"/>
  <c r="H346" i="3"/>
  <c r="I346" i="3" s="1"/>
  <c r="K346" i="3" s="1"/>
  <c r="H337" i="3"/>
  <c r="I337" i="3" s="1"/>
  <c r="K337" i="3" s="1"/>
  <c r="H333" i="3"/>
  <c r="I333" i="3" s="1"/>
  <c r="K333" i="3" s="1"/>
  <c r="H318" i="3"/>
  <c r="I318" i="3" s="1"/>
  <c r="H418" i="3"/>
  <c r="I418" i="3" s="1"/>
  <c r="K418" i="3" s="1"/>
  <c r="H371" i="3"/>
  <c r="I371" i="3" s="1"/>
  <c r="K371" i="3" s="1"/>
  <c r="H420" i="3"/>
  <c r="I420" i="3" s="1"/>
  <c r="K420" i="3" s="1"/>
  <c r="H419" i="3"/>
  <c r="I419" i="3" s="1"/>
  <c r="K419" i="3" s="1"/>
  <c r="H339" i="3"/>
  <c r="I339" i="3" s="1"/>
  <c r="K339" i="3" s="1"/>
  <c r="H434" i="3"/>
  <c r="I434" i="3" s="1"/>
  <c r="K434" i="3" s="1"/>
  <c r="H433" i="3"/>
  <c r="I433" i="3" s="1"/>
  <c r="K433" i="3" s="1"/>
  <c r="H342" i="3"/>
  <c r="I342" i="3" s="1"/>
  <c r="K342" i="3" s="1"/>
  <c r="H427" i="3"/>
  <c r="I427" i="3" s="1"/>
  <c r="K427" i="3" s="1"/>
  <c r="H417" i="3"/>
  <c r="I417" i="3" s="1"/>
  <c r="K417" i="3" s="1"/>
  <c r="H421" i="3"/>
  <c r="I421" i="3" s="1"/>
  <c r="K421" i="3" s="1"/>
  <c r="H102" i="3"/>
  <c r="I102" i="3" s="1"/>
  <c r="H89" i="3"/>
  <c r="I89" i="3" s="1"/>
  <c r="H295" i="3"/>
  <c r="I295" i="3" s="1"/>
  <c r="H114" i="3"/>
  <c r="H52" i="3"/>
  <c r="I52" i="3" s="1"/>
  <c r="H482" i="3"/>
  <c r="I482" i="3" s="1"/>
  <c r="H111" i="3"/>
  <c r="I111" i="3" s="1"/>
  <c r="H481" i="3"/>
  <c r="I481" i="3" s="1"/>
  <c r="H450" i="3"/>
  <c r="I450" i="3" s="1"/>
  <c r="H112" i="3"/>
  <c r="I112" i="3" s="1"/>
  <c r="H480" i="3"/>
  <c r="I480" i="3" s="1"/>
  <c r="H28" i="3"/>
  <c r="I28" i="3" s="1"/>
  <c r="H479" i="3"/>
  <c r="I479" i="3" s="1"/>
  <c r="H439" i="3"/>
  <c r="I439" i="3" s="1"/>
  <c r="H406" i="3"/>
  <c r="I406" i="3" s="1"/>
  <c r="H396" i="3"/>
  <c r="I396" i="3" s="1"/>
  <c r="H390" i="3"/>
  <c r="I390" i="3" s="1"/>
  <c r="H405" i="3"/>
  <c r="I405" i="3" s="1"/>
  <c r="H389" i="3"/>
  <c r="I389" i="3" s="1"/>
  <c r="H394" i="3"/>
  <c r="I394" i="3" s="1"/>
  <c r="H400" i="3"/>
  <c r="I400" i="3" s="1"/>
  <c r="H393" i="3"/>
  <c r="I393" i="3" s="1"/>
  <c r="H399" i="3"/>
  <c r="I399" i="3" s="1"/>
  <c r="H391" i="3"/>
  <c r="I391" i="3" s="1"/>
  <c r="H441" i="3"/>
  <c r="I441" i="3" s="1"/>
  <c r="H388" i="3"/>
  <c r="I388" i="3" s="1"/>
  <c r="H403" i="3"/>
  <c r="I403" i="3" s="1"/>
  <c r="H401" i="3"/>
  <c r="I401" i="3" s="1"/>
  <c r="H397" i="3"/>
  <c r="I397" i="3" s="1"/>
  <c r="H395" i="3"/>
  <c r="I395" i="3" s="1"/>
  <c r="H69" i="3"/>
  <c r="I69" i="3" s="1"/>
  <c r="H404" i="3"/>
  <c r="I404" i="3" s="1"/>
  <c r="H398" i="3"/>
  <c r="I398" i="3" s="1"/>
  <c r="H402" i="3"/>
  <c r="I402" i="3" s="1"/>
  <c r="H468" i="3"/>
  <c r="I468" i="3" s="1"/>
  <c r="H463" i="3"/>
  <c r="I463" i="3" s="1"/>
  <c r="H458" i="3"/>
  <c r="I458" i="3" s="1"/>
  <c r="H461" i="3"/>
  <c r="I461" i="3" s="1"/>
  <c r="H459" i="3"/>
  <c r="I459" i="3" s="1"/>
  <c r="H466" i="3"/>
  <c r="I466" i="3" s="1"/>
  <c r="H457" i="3"/>
  <c r="I457" i="3" s="1"/>
  <c r="H469" i="3"/>
  <c r="I469" i="3" s="1"/>
  <c r="H464" i="3"/>
  <c r="I464" i="3" s="1"/>
  <c r="H455" i="3"/>
  <c r="I455" i="3" s="1"/>
  <c r="H473" i="3"/>
  <c r="I473" i="3" s="1"/>
  <c r="H465" i="3"/>
  <c r="I465" i="3" s="1"/>
  <c r="H460" i="3"/>
  <c r="I460" i="3" s="1"/>
  <c r="H456" i="3"/>
  <c r="I456" i="3" s="1"/>
  <c r="H471" i="3"/>
  <c r="I471" i="3" s="1"/>
  <c r="H472" i="3"/>
  <c r="I472" i="3" s="1"/>
  <c r="H449" i="3"/>
  <c r="I449" i="3" s="1"/>
  <c r="H445" i="3"/>
  <c r="I445" i="3" s="1"/>
  <c r="H305" i="3"/>
  <c r="I305" i="3" s="1"/>
  <c r="H303" i="3"/>
  <c r="I303" i="3" s="1"/>
  <c r="H297" i="3"/>
  <c r="I297" i="3" s="1"/>
  <c r="H293" i="3"/>
  <c r="I293" i="3" s="1"/>
  <c r="H291" i="3"/>
  <c r="I291" i="3" s="1"/>
  <c r="H289" i="3"/>
  <c r="I289" i="3" s="1"/>
  <c r="H287" i="3"/>
  <c r="I287" i="3" s="1"/>
  <c r="H285" i="3"/>
  <c r="I285" i="3" s="1"/>
  <c r="H283" i="3"/>
  <c r="I283" i="3" s="1"/>
  <c r="H280" i="3"/>
  <c r="I280" i="3" s="1"/>
  <c r="H126" i="3"/>
  <c r="H109" i="3"/>
  <c r="I109" i="3" s="1"/>
  <c r="H79" i="3"/>
  <c r="I79" i="3" s="1"/>
  <c r="H76" i="3"/>
  <c r="I76" i="3" s="1"/>
  <c r="H73" i="3"/>
  <c r="I73" i="3" s="1"/>
  <c r="H65" i="3"/>
  <c r="I65" i="3" s="1"/>
  <c r="H61" i="3"/>
  <c r="H56" i="3"/>
  <c r="I56" i="3" s="1"/>
  <c r="H53" i="3"/>
  <c r="I53" i="3" s="1"/>
  <c r="H45" i="3"/>
  <c r="H41" i="3"/>
  <c r="H36" i="3"/>
  <c r="H20" i="3"/>
  <c r="I20" i="3" s="1"/>
  <c r="H18" i="3"/>
  <c r="I18" i="3" s="1"/>
  <c r="H281" i="3"/>
  <c r="I281" i="3" s="1"/>
  <c r="H271" i="3"/>
  <c r="I271" i="3" s="1"/>
  <c r="H261" i="3"/>
  <c r="I261" i="3" s="1"/>
  <c r="H279" i="3"/>
  <c r="I279" i="3" s="1"/>
  <c r="H276" i="3"/>
  <c r="I276" i="3" s="1"/>
  <c r="H274" i="3"/>
  <c r="I274" i="3" s="1"/>
  <c r="H272" i="3"/>
  <c r="I272" i="3" s="1"/>
  <c r="H270" i="3"/>
  <c r="I270" i="3" s="1"/>
  <c r="H268" i="3"/>
  <c r="I268" i="3" s="1"/>
  <c r="H266" i="3"/>
  <c r="I266" i="3" s="1"/>
  <c r="H264" i="3"/>
  <c r="I264" i="3" s="1"/>
  <c r="H262" i="3"/>
  <c r="I262" i="3" s="1"/>
  <c r="H108" i="3"/>
  <c r="I108" i="3" s="1"/>
  <c r="H104" i="3"/>
  <c r="H78" i="3"/>
  <c r="I78" i="3" s="1"/>
  <c r="H72" i="3"/>
  <c r="I72" i="3" s="1"/>
  <c r="H64" i="3"/>
  <c r="H60" i="3"/>
  <c r="H51" i="3"/>
  <c r="I51" i="3" s="1"/>
  <c r="H43" i="3"/>
  <c r="H40" i="3"/>
  <c r="I40" i="3" s="1"/>
  <c r="H38" i="3"/>
  <c r="I38" i="3" s="1"/>
  <c r="H27" i="3"/>
  <c r="I27" i="3" s="1"/>
  <c r="H477" i="3"/>
  <c r="I477" i="3" s="1"/>
  <c r="H275" i="3"/>
  <c r="I275" i="3" s="1"/>
  <c r="H273" i="3"/>
  <c r="I273" i="3" s="1"/>
  <c r="H267" i="3"/>
  <c r="I267" i="3" s="1"/>
  <c r="H265" i="3"/>
  <c r="I265" i="3" s="1"/>
  <c r="H486" i="3"/>
  <c r="I486" i="3" s="1"/>
  <c r="I487" i="3" s="1"/>
  <c r="AA66" i="4" s="1"/>
  <c r="Y68" i="4" s="1"/>
  <c r="AB68" i="4" s="1"/>
  <c r="H448" i="3"/>
  <c r="I448" i="3" s="1"/>
  <c r="H386" i="3"/>
  <c r="I386" i="3" s="1"/>
  <c r="H383" i="3"/>
  <c r="I383" i="3" s="1"/>
  <c r="H306" i="3"/>
  <c r="I306" i="3" s="1"/>
  <c r="H304" i="3"/>
  <c r="I304" i="3" s="1"/>
  <c r="H302" i="3"/>
  <c r="I302" i="3" s="1"/>
  <c r="H296" i="3"/>
  <c r="I296" i="3" s="1"/>
  <c r="H294" i="3"/>
  <c r="I294" i="3" s="1"/>
  <c r="H292" i="3"/>
  <c r="I292" i="3" s="1"/>
  <c r="H290" i="3"/>
  <c r="I290" i="3" s="1"/>
  <c r="H288" i="3"/>
  <c r="I288" i="3" s="1"/>
  <c r="H286" i="3"/>
  <c r="I286" i="3" s="1"/>
  <c r="H284" i="3"/>
  <c r="I284" i="3" s="1"/>
  <c r="H282" i="3"/>
  <c r="I282" i="3" s="1"/>
  <c r="H278" i="3"/>
  <c r="I278" i="3" s="1"/>
  <c r="H124" i="3"/>
  <c r="H117" i="3"/>
  <c r="I117" i="3" s="1"/>
  <c r="H106" i="3"/>
  <c r="I106" i="3" s="1"/>
  <c r="H103" i="3"/>
  <c r="I103" i="3" s="1"/>
  <c r="H81" i="3"/>
  <c r="I81" i="3" s="1"/>
  <c r="H77" i="3"/>
  <c r="I77" i="3" s="1"/>
  <c r="H75" i="3"/>
  <c r="I75" i="3" s="1"/>
  <c r="H71" i="3"/>
  <c r="I71" i="3" s="1"/>
  <c r="H63" i="3"/>
  <c r="H39" i="3"/>
  <c r="I39" i="3" s="1"/>
  <c r="H26" i="3"/>
  <c r="H19" i="3"/>
  <c r="I19" i="3" s="1"/>
  <c r="H277" i="3"/>
  <c r="I277" i="3" s="1"/>
  <c r="H269" i="3"/>
  <c r="I269" i="3" s="1"/>
  <c r="H263" i="3"/>
  <c r="I263" i="3" s="1"/>
  <c r="H101" i="3"/>
  <c r="H54" i="3"/>
  <c r="H37" i="3"/>
  <c r="H25" i="3"/>
  <c r="I25" i="3" s="1"/>
  <c r="H62" i="3"/>
  <c r="H110" i="3"/>
  <c r="I110" i="3" s="1"/>
  <c r="H74" i="3"/>
  <c r="I74" i="3" s="1"/>
  <c r="H120" i="3"/>
  <c r="I120" i="3" s="1"/>
  <c r="H80" i="3"/>
  <c r="H70" i="3"/>
  <c r="H44" i="3"/>
  <c r="I44" i="3" s="1"/>
  <c r="H115" i="3"/>
  <c r="I115" i="3" s="1"/>
  <c r="H385" i="3"/>
  <c r="I385" i="3" s="1"/>
  <c r="H446" i="3"/>
  <c r="I446" i="3" s="1"/>
  <c r="H308" i="3"/>
  <c r="I308" i="3" s="1"/>
  <c r="H447" i="3"/>
  <c r="I447" i="3" s="1"/>
  <c r="B5" i="34"/>
  <c r="B5" i="9"/>
  <c r="B5" i="29"/>
  <c r="B5" i="11"/>
  <c r="B5" i="28"/>
  <c r="B5" i="33"/>
  <c r="B5" i="13"/>
  <c r="B5" i="6"/>
  <c r="B5" i="14"/>
  <c r="B5" i="35"/>
  <c r="B5" i="27"/>
  <c r="B5" i="12"/>
  <c r="B5" i="7"/>
  <c r="B5" i="19"/>
  <c r="B5" i="18"/>
  <c r="B5" i="26"/>
  <c r="B5" i="10"/>
  <c r="B5" i="31"/>
  <c r="I105" i="12"/>
  <c r="C107" i="12" s="1"/>
  <c r="G132" i="11"/>
  <c r="D198" i="13"/>
  <c r="C200" i="13" s="1"/>
  <c r="F114" i="3" s="1"/>
  <c r="C265" i="9"/>
  <c r="F60" i="3"/>
  <c r="F36" i="3"/>
  <c r="G440" i="3"/>
  <c r="H440" i="3" s="1"/>
  <c r="I440" i="3" s="1"/>
  <c r="G478" i="3"/>
  <c r="H478" i="3" s="1"/>
  <c r="I478" i="3" s="1"/>
  <c r="C270" i="9"/>
  <c r="G265" i="9"/>
  <c r="F61" i="3" s="1"/>
  <c r="F45" i="3"/>
  <c r="F37" i="3"/>
  <c r="F41" i="3"/>
  <c r="F43" i="3"/>
  <c r="C153" i="12"/>
  <c r="I451" i="3" l="1"/>
  <c r="I258" i="3"/>
  <c r="I22" i="3"/>
  <c r="AA9" i="4" s="1"/>
  <c r="I298" i="3"/>
  <c r="AA39" i="4" s="1"/>
  <c r="I37" i="3"/>
  <c r="I407" i="3"/>
  <c r="AA48" i="4" s="1"/>
  <c r="I60" i="3"/>
  <c r="I61" i="3"/>
  <c r="I114" i="3"/>
  <c r="I43" i="3"/>
  <c r="I26" i="3"/>
  <c r="I36" i="3"/>
  <c r="I41" i="3"/>
  <c r="I45" i="3"/>
  <c r="I474" i="3"/>
  <c r="AA60" i="4" s="1"/>
  <c r="U62" i="4" s="1"/>
  <c r="N266" i="3"/>
  <c r="I442" i="3"/>
  <c r="AA54" i="4" s="1"/>
  <c r="U56" i="4" s="1"/>
  <c r="I483" i="3"/>
  <c r="AA63" i="4" s="1"/>
  <c r="AA57" i="4"/>
  <c r="N388" i="3"/>
  <c r="I380" i="3"/>
  <c r="AA45" i="4" s="1"/>
  <c r="M321" i="3"/>
  <c r="M322" i="3" s="1"/>
  <c r="K318" i="3"/>
  <c r="I436" i="3"/>
  <c r="AA51" i="4" s="1"/>
  <c r="K410" i="3"/>
  <c r="C156" i="12"/>
  <c r="G156" i="12" s="1"/>
  <c r="F88" i="3"/>
  <c r="I88" i="3" s="1"/>
  <c r="C20" i="14"/>
  <c r="C31" i="14" s="1"/>
  <c r="C40" i="14" s="1"/>
  <c r="C275" i="9"/>
  <c r="G270" i="9"/>
  <c r="F62" i="3" s="1"/>
  <c r="I62" i="3" s="1"/>
  <c r="C11" i="4" l="1"/>
  <c r="Y6" i="4"/>
  <c r="Y8" i="4" s="1"/>
  <c r="W6" i="4"/>
  <c r="W8" i="4" s="1"/>
  <c r="Y41" i="4"/>
  <c r="K41" i="4"/>
  <c r="W41" i="4"/>
  <c r="AB11" i="4"/>
  <c r="M47" i="4"/>
  <c r="Y47" i="4"/>
  <c r="S65" i="4"/>
  <c r="AA36" i="4"/>
  <c r="U38" i="4" s="1"/>
  <c r="L33" i="3"/>
  <c r="I48" i="3"/>
  <c r="I29" i="3"/>
  <c r="L25" i="3" s="1"/>
  <c r="S59" i="4"/>
  <c r="N267" i="3"/>
  <c r="U59" i="4"/>
  <c r="W62" i="4"/>
  <c r="M50" i="4"/>
  <c r="W50" i="4"/>
  <c r="Y59" i="4"/>
  <c r="Q41" i="4"/>
  <c r="S41" i="4"/>
  <c r="U41" i="4"/>
  <c r="N389" i="3"/>
  <c r="E18" i="14"/>
  <c r="E29" i="14" s="1"/>
  <c r="F94" i="3"/>
  <c r="I94" i="3" s="1"/>
  <c r="D163" i="12"/>
  <c r="C169" i="12"/>
  <c r="AB56" i="4"/>
  <c r="W53" i="4"/>
  <c r="U53" i="4"/>
  <c r="O47" i="4"/>
  <c r="Q47" i="4"/>
  <c r="C281" i="9"/>
  <c r="G281" i="9" s="1"/>
  <c r="F64" i="3" s="1"/>
  <c r="I64" i="3" s="1"/>
  <c r="G275" i="9"/>
  <c r="F63" i="3" s="1"/>
  <c r="I63" i="3" s="1"/>
  <c r="S38" i="4" l="1"/>
  <c r="Y38" i="4"/>
  <c r="W38" i="4"/>
  <c r="Q38" i="4"/>
  <c r="AB38" i="4" s="1"/>
  <c r="AB65" i="4"/>
  <c r="AA12" i="4"/>
  <c r="L26" i="3"/>
  <c r="AB59" i="4"/>
  <c r="AB50" i="4"/>
  <c r="AB62" i="4"/>
  <c r="AB41" i="4"/>
  <c r="AB53" i="4"/>
  <c r="AB47" i="4"/>
  <c r="L36" i="3"/>
  <c r="AA15" i="4"/>
  <c r="C17" i="4" s="1"/>
  <c r="C14" i="4" l="1"/>
  <c r="G17" i="4"/>
  <c r="E17" i="4"/>
  <c r="F96" i="3"/>
  <c r="I96" i="3" s="1"/>
  <c r="E38" i="14"/>
  <c r="AB14" i="4" l="1"/>
  <c r="AB17" i="4"/>
  <c r="C106" i="11" l="1"/>
  <c r="E109" i="11" s="1"/>
  <c r="G109" i="11" s="1"/>
  <c r="F86" i="3" s="1"/>
  <c r="I86" i="3" s="1"/>
  <c r="E110" i="12" l="1"/>
  <c r="G110" i="12" s="1"/>
  <c r="F104" i="3"/>
  <c r="I104" i="3" s="1"/>
  <c r="F101" i="3"/>
  <c r="I101" i="3" s="1"/>
  <c r="I121" i="3" l="1"/>
  <c r="C113" i="12"/>
  <c r="G113" i="12" s="1"/>
  <c r="I90" i="3"/>
  <c r="G281" i="10"/>
  <c r="F80" i="3" s="1"/>
  <c r="I80" i="3" s="1"/>
  <c r="M101" i="3"/>
  <c r="B29" i="14" l="1"/>
  <c r="B163" i="12"/>
  <c r="F163" i="12" s="1"/>
  <c r="F95" i="3" s="1"/>
  <c r="I95" i="3" s="1"/>
  <c r="B18" i="14"/>
  <c r="F93" i="3"/>
  <c r="I93" i="3" s="1"/>
  <c r="AA30" i="4"/>
  <c r="AA24" i="4"/>
  <c r="L88" i="3"/>
  <c r="N101" i="3"/>
  <c r="N104" i="3" s="1"/>
  <c r="L85" i="3"/>
  <c r="I26" i="4" l="1"/>
  <c r="K26" i="4"/>
  <c r="M32" i="4"/>
  <c r="I32" i="4"/>
  <c r="K32" i="4"/>
  <c r="I97" i="3"/>
  <c r="AA27" i="4" s="1"/>
  <c r="H18" i="14"/>
  <c r="C23" i="14" s="1"/>
  <c r="F124" i="3" s="1"/>
  <c r="I124" i="3" s="1"/>
  <c r="B38" i="14"/>
  <c r="H38" i="14" s="1"/>
  <c r="C42" i="14" s="1"/>
  <c r="H29" i="14"/>
  <c r="C33" i="14" s="1"/>
  <c r="F125" i="3" s="1"/>
  <c r="I125" i="3" s="1"/>
  <c r="O32" i="4"/>
  <c r="G26" i="4"/>
  <c r="Q26" i="4"/>
  <c r="S26" i="4"/>
  <c r="K29" i="4" l="1"/>
  <c r="I29" i="4"/>
  <c r="G29" i="4"/>
  <c r="L93" i="3"/>
  <c r="I126" i="3"/>
  <c r="M29" i="4"/>
  <c r="AB32" i="4"/>
  <c r="AB26" i="4"/>
  <c r="AB29" i="4" l="1"/>
  <c r="G310" i="3" l="1"/>
  <c r="H310" i="3" s="1"/>
  <c r="I310" i="3" s="1"/>
  <c r="I314" i="3" s="1"/>
  <c r="AA42" i="4" l="1"/>
  <c r="W44" i="4" l="1"/>
  <c r="K44" i="4"/>
  <c r="Q44" i="4"/>
  <c r="S44" i="4"/>
  <c r="U44" i="4"/>
  <c r="AB44" i="4" l="1"/>
  <c r="F54" i="3"/>
  <c r="I54" i="3" s="1"/>
  <c r="I66" i="3" s="1"/>
  <c r="M53" i="3" l="1"/>
  <c r="M54" i="3"/>
  <c r="AA18" i="4"/>
  <c r="O20" i="4" l="1"/>
  <c r="M20" i="4"/>
  <c r="K20" i="4"/>
  <c r="J20" i="4"/>
  <c r="AB20" i="4" l="1"/>
  <c r="D84" i="10" l="1"/>
  <c r="F70" i="3" s="1"/>
  <c r="I70" i="3" s="1"/>
  <c r="I82" i="3" s="1"/>
  <c r="M70" i="3" l="1"/>
  <c r="M71" i="3" l="1"/>
  <c r="AA21" i="4"/>
  <c r="M69" i="3"/>
  <c r="Q23" i="4" l="1"/>
  <c r="O23" i="4"/>
  <c r="G23" i="4"/>
  <c r="I23" i="4"/>
  <c r="M23" i="4"/>
  <c r="K23" i="4"/>
  <c r="AB23" i="4" l="1"/>
  <c r="F129" i="3" l="1"/>
  <c r="I129" i="3" s="1"/>
  <c r="I130" i="3" s="1"/>
  <c r="I488" i="3" s="1"/>
  <c r="H496" i="3" s="1"/>
  <c r="H497" i="3" s="1"/>
  <c r="L47" i="3" l="1"/>
  <c r="I497" i="3"/>
  <c r="AA33" i="4"/>
  <c r="AA69" i="4" l="1"/>
  <c r="AA71" i="4" s="1"/>
  <c r="AA76" i="4" s="1"/>
  <c r="U6" i="4"/>
  <c r="S6" i="4"/>
  <c r="E6" i="4"/>
  <c r="C6" i="4"/>
  <c r="K6" i="4"/>
  <c r="G6" i="4"/>
  <c r="I6" i="4"/>
  <c r="O6" i="4"/>
  <c r="M6" i="4"/>
  <c r="Q6" i="4"/>
  <c r="AA80" i="4"/>
  <c r="AC80" i="4" s="1"/>
  <c r="B83" i="4" s="1"/>
  <c r="C80" i="4" s="1"/>
  <c r="AC78" i="4"/>
  <c r="K313" i="3"/>
  <c r="K47" i="3"/>
  <c r="J31" i="3"/>
  <c r="K33" i="3"/>
  <c r="K34" i="3"/>
  <c r="J68" i="3"/>
  <c r="K396" i="3"/>
  <c r="K58" i="3"/>
  <c r="K473" i="3"/>
  <c r="K403" i="3"/>
  <c r="J382" i="3"/>
  <c r="K64" i="3"/>
  <c r="K101" i="3"/>
  <c r="K303" i="3"/>
  <c r="K36" i="3"/>
  <c r="K308" i="3"/>
  <c r="K93" i="3"/>
  <c r="K19" i="3"/>
  <c r="K266" i="3"/>
  <c r="J132" i="3"/>
  <c r="K118" i="3"/>
  <c r="K26" i="3"/>
  <c r="K309" i="3"/>
  <c r="K391" i="3"/>
  <c r="K94" i="3"/>
  <c r="K78" i="3"/>
  <c r="K468" i="3"/>
  <c r="J24" i="3"/>
  <c r="K86" i="3"/>
  <c r="K400" i="3"/>
  <c r="K275" i="3"/>
  <c r="K270" i="3"/>
  <c r="K108" i="3"/>
  <c r="K55" i="3"/>
  <c r="K296" i="3"/>
  <c r="K472" i="3"/>
  <c r="K14" i="3"/>
  <c r="K449" i="3"/>
  <c r="K384" i="3"/>
  <c r="K312" i="3"/>
  <c r="K273" i="3"/>
  <c r="K405" i="3"/>
  <c r="K402" i="3"/>
  <c r="K478" i="3"/>
  <c r="J453" i="3"/>
  <c r="K61" i="3"/>
  <c r="K459" i="3"/>
  <c r="K394" i="3"/>
  <c r="K460" i="3"/>
  <c r="J444" i="3"/>
  <c r="K280" i="3"/>
  <c r="K445" i="3"/>
  <c r="K457" i="3"/>
  <c r="K116" i="3"/>
  <c r="K448" i="3"/>
  <c r="K115" i="3"/>
  <c r="K276" i="3"/>
  <c r="K120" i="3"/>
  <c r="K80" i="3"/>
  <c r="K447" i="3"/>
  <c r="K387" i="3"/>
  <c r="K18" i="3"/>
  <c r="K60" i="3"/>
  <c r="J485" i="3"/>
  <c r="K45" i="3"/>
  <c r="K302" i="3"/>
  <c r="K388" i="3"/>
  <c r="J409" i="3"/>
  <c r="K62" i="3"/>
  <c r="K486" i="3"/>
  <c r="K272" i="3"/>
  <c r="K306" i="3"/>
  <c r="K265" i="3"/>
  <c r="K77" i="3"/>
  <c r="K283" i="3"/>
  <c r="K304" i="3"/>
  <c r="K71" i="3"/>
  <c r="K458" i="3"/>
  <c r="J316" i="3"/>
  <c r="K105" i="3"/>
  <c r="K293" i="3"/>
  <c r="K406" i="3"/>
  <c r="K455" i="3"/>
  <c r="K113" i="3"/>
  <c r="K286" i="3"/>
  <c r="K289" i="3"/>
  <c r="K277" i="3"/>
  <c r="K279" i="3"/>
  <c r="J13" i="3"/>
  <c r="K268" i="3"/>
  <c r="K110" i="3"/>
  <c r="K95" i="3"/>
  <c r="K51" i="3"/>
  <c r="K37" i="3"/>
  <c r="K271" i="3"/>
  <c r="K461" i="3"/>
  <c r="K385" i="3"/>
  <c r="K456" i="3"/>
  <c r="K465" i="3"/>
  <c r="K106" i="3"/>
  <c r="K311" i="3"/>
  <c r="K305" i="3"/>
  <c r="K284" i="3"/>
  <c r="J84" i="3"/>
  <c r="K79" i="3"/>
  <c r="K463" i="3"/>
  <c r="K39" i="3"/>
  <c r="K103" i="3"/>
  <c r="K290" i="3"/>
  <c r="K126" i="3"/>
  <c r="K393" i="3"/>
  <c r="K294" i="3"/>
  <c r="K462" i="3"/>
  <c r="J438" i="3"/>
  <c r="K69" i="3"/>
  <c r="K81" i="3"/>
  <c r="K281" i="3"/>
  <c r="J50" i="3"/>
  <c r="K291" i="3"/>
  <c r="K65" i="3"/>
  <c r="K119" i="3"/>
  <c r="K307" i="3"/>
  <c r="K104" i="3"/>
  <c r="J300" i="3"/>
  <c r="K53" i="3"/>
  <c r="K310" i="3"/>
  <c r="K109" i="3"/>
  <c r="J92" i="3"/>
  <c r="K470" i="3"/>
  <c r="K43" i="3"/>
  <c r="K471" i="3"/>
  <c r="K70" i="3"/>
  <c r="K278" i="3"/>
  <c r="K73" i="3"/>
  <c r="K274" i="3"/>
  <c r="K398" i="3"/>
  <c r="K57" i="3"/>
  <c r="K267" i="3"/>
  <c r="K124" i="3"/>
  <c r="K88" i="3"/>
  <c r="K467" i="3"/>
  <c r="K446" i="3"/>
  <c r="K125" i="3"/>
  <c r="K262" i="3"/>
  <c r="K264" i="3"/>
  <c r="K399" i="3"/>
  <c r="K440" i="3"/>
  <c r="K466" i="3"/>
  <c r="K56" i="3"/>
  <c r="K38" i="3"/>
  <c r="K261" i="3"/>
  <c r="K54" i="3"/>
  <c r="K263" i="3"/>
  <c r="K401" i="3"/>
  <c r="K285" i="3"/>
  <c r="K397" i="3"/>
  <c r="K20" i="3"/>
  <c r="K395" i="3"/>
  <c r="K288" i="3"/>
  <c r="K76" i="3"/>
  <c r="J260" i="3"/>
  <c r="K117" i="3"/>
  <c r="J476" i="3"/>
  <c r="K477" i="3"/>
  <c r="K27" i="3"/>
  <c r="K292" i="3"/>
  <c r="K389" i="3"/>
  <c r="K464" i="3"/>
  <c r="K63" i="3"/>
  <c r="K383" i="3"/>
  <c r="K75" i="3"/>
  <c r="K404" i="3"/>
  <c r="K40" i="3"/>
  <c r="J17" i="3"/>
  <c r="K44" i="3"/>
  <c r="K269" i="3"/>
  <c r="K287" i="3"/>
  <c r="K282" i="3"/>
  <c r="K72" i="3"/>
  <c r="K297" i="3"/>
  <c r="K41" i="3"/>
  <c r="K386" i="3"/>
  <c r="K469" i="3"/>
  <c r="J99" i="3"/>
  <c r="K390" i="3"/>
  <c r="K96" i="3"/>
  <c r="K25" i="3"/>
  <c r="J123" i="3"/>
  <c r="W35" i="4"/>
  <c r="W71" i="4" s="1"/>
  <c r="Y35" i="4"/>
  <c r="Y71" i="4" s="1"/>
  <c r="I8" i="4" l="1"/>
  <c r="I71" i="4" s="1"/>
  <c r="I72" i="4" s="1"/>
  <c r="K71" i="4"/>
  <c r="K8" i="4"/>
  <c r="G8" i="4"/>
  <c r="G71" i="4" s="1"/>
  <c r="G72" i="4" s="1"/>
  <c r="C71" i="4"/>
  <c r="C73" i="4" s="1"/>
  <c r="C8" i="4"/>
  <c r="E71" i="4"/>
  <c r="E72" i="4" s="1"/>
  <c r="E8" i="4"/>
  <c r="Q71" i="4"/>
  <c r="Q8" i="4"/>
  <c r="S71" i="4"/>
  <c r="S72" i="4" s="1"/>
  <c r="S8" i="4"/>
  <c r="M8" i="4"/>
  <c r="M71" i="4" s="1"/>
  <c r="M72" i="4" s="1"/>
  <c r="U71" i="4"/>
  <c r="U72" i="4" s="1"/>
  <c r="U8" i="4"/>
  <c r="O71" i="4"/>
  <c r="O8" i="4"/>
  <c r="O72" i="4"/>
  <c r="Q72" i="4"/>
  <c r="Y72" i="4"/>
  <c r="K72" i="4"/>
  <c r="J488" i="3"/>
  <c r="AB35" i="4"/>
  <c r="AB6" i="4" l="1"/>
  <c r="AB8" i="4"/>
  <c r="W72" i="4"/>
  <c r="C72" i="4" l="1"/>
  <c r="E73" i="4" l="1"/>
  <c r="C74" i="4"/>
  <c r="E74" i="4" l="1"/>
  <c r="G73" i="4"/>
  <c r="I73" i="4" l="1"/>
  <c r="G74" i="4"/>
  <c r="K73" i="4" l="1"/>
  <c r="I74" i="4"/>
  <c r="M73" i="4" l="1"/>
  <c r="K74" i="4"/>
  <c r="M74" i="4" l="1"/>
  <c r="O73" i="4"/>
  <c r="Q73" i="4" l="1"/>
  <c r="O74" i="4"/>
  <c r="S73" i="4" l="1"/>
  <c r="Q74" i="4"/>
  <c r="U73" i="4" l="1"/>
  <c r="W73" i="4" s="1"/>
  <c r="Y73" i="4" s="1"/>
  <c r="S74" i="4"/>
  <c r="U74" i="4" l="1"/>
  <c r="Y74" i="4" l="1"/>
  <c r="Y77" i="4" s="1"/>
  <c r="W74" i="4"/>
</calcChain>
</file>

<file path=xl/sharedStrings.xml><?xml version="1.0" encoding="utf-8"?>
<sst xmlns="http://schemas.openxmlformats.org/spreadsheetml/2006/main" count="7122" uniqueCount="1755">
  <si>
    <t xml:space="preserve"> m²</t>
  </si>
  <si>
    <t>1.1</t>
  </si>
  <si>
    <t>m³</t>
  </si>
  <si>
    <t>2.1</t>
  </si>
  <si>
    <t>2.2</t>
  </si>
  <si>
    <t>2.3</t>
  </si>
  <si>
    <t>m²</t>
  </si>
  <si>
    <t>3.1</t>
  </si>
  <si>
    <t>3.2</t>
  </si>
  <si>
    <t>4.1.1</t>
  </si>
  <si>
    <t>4.1</t>
  </si>
  <si>
    <t>4.2</t>
  </si>
  <si>
    <t>6.1</t>
  </si>
  <si>
    <t>6.2</t>
  </si>
  <si>
    <t>6.3</t>
  </si>
  <si>
    <t>7.1</t>
  </si>
  <si>
    <t>7.2</t>
  </si>
  <si>
    <t>m</t>
  </si>
  <si>
    <t>8.1</t>
  </si>
  <si>
    <t>8.2</t>
  </si>
  <si>
    <t>9.1</t>
  </si>
  <si>
    <t>9.2</t>
  </si>
  <si>
    <t>10.1</t>
  </si>
  <si>
    <t>10.2</t>
  </si>
  <si>
    <t>11.1</t>
  </si>
  <si>
    <t>12.1</t>
  </si>
  <si>
    <t>12.2</t>
  </si>
  <si>
    <t>14.1</t>
  </si>
  <si>
    <t>14.2</t>
  </si>
  <si>
    <t>15.1</t>
  </si>
  <si>
    <t>16.1</t>
  </si>
  <si>
    <t>13.1</t>
  </si>
  <si>
    <t>Item</t>
  </si>
  <si>
    <t>Descrição dos Serviços</t>
  </si>
  <si>
    <t>Unid.</t>
  </si>
  <si>
    <t>Quant.</t>
  </si>
  <si>
    <t>Valor Unit.(R$)</t>
  </si>
  <si>
    <t>Valor Total(R$)</t>
  </si>
  <si>
    <t xml:space="preserve">Serviços Preliminares </t>
  </si>
  <si>
    <t>Movimento de Terra</t>
  </si>
  <si>
    <t>Paredes</t>
  </si>
  <si>
    <t>Esquadrias</t>
  </si>
  <si>
    <t>Cobertura</t>
  </si>
  <si>
    <t>Revestimento de Paredes</t>
  </si>
  <si>
    <t>Pavimentação</t>
  </si>
  <si>
    <t>Pintura</t>
  </si>
  <si>
    <t>Prevenção e Combate a Incêndio</t>
  </si>
  <si>
    <t>Serviços Diversos</t>
  </si>
  <si>
    <t>Serviços Finais</t>
  </si>
  <si>
    <t>4.1.2</t>
  </si>
  <si>
    <t>Total Geral</t>
  </si>
  <si>
    <t>CRONOGRAMA FÍSICO - FINANCEIRO</t>
  </si>
  <si>
    <t>ITEM</t>
  </si>
  <si>
    <t>DESCRIÇÃO</t>
  </si>
  <si>
    <t>1º MÊS</t>
  </si>
  <si>
    <t>2º MÊS</t>
  </si>
  <si>
    <t>3º MÊS</t>
  </si>
  <si>
    <t>4º MÊS</t>
  </si>
  <si>
    <t>5º MÊS</t>
  </si>
  <si>
    <t>6º MÊS</t>
  </si>
  <si>
    <t>TOTAL</t>
  </si>
  <si>
    <t>15 dias</t>
  </si>
  <si>
    <t>TOTAL DO MÊS (R$)</t>
  </si>
  <si>
    <t>TOTAL (%)</t>
  </si>
  <si>
    <t>ACUMULADO NO MÊS (R$)</t>
  </si>
  <si>
    <t>ACUMULADO (%)</t>
  </si>
  <si>
    <t>TOTAL DO GERAL (R$)</t>
  </si>
  <si>
    <t>%</t>
  </si>
  <si>
    <t>Valor BDI(R$)</t>
  </si>
  <si>
    <t>Serviços Preliminares</t>
  </si>
  <si>
    <t xml:space="preserve">L= </t>
  </si>
  <si>
    <t>x</t>
  </si>
  <si>
    <t>=</t>
  </si>
  <si>
    <t>kg</t>
  </si>
  <si>
    <t>Portas</t>
  </si>
  <si>
    <t>+</t>
  </si>
  <si>
    <t>L=</t>
  </si>
  <si>
    <t>comp.</t>
  </si>
  <si>
    <t>un.</t>
  </si>
  <si>
    <t>-</t>
  </si>
  <si>
    <t>Vol. Escavado</t>
  </si>
  <si>
    <t>largura</t>
  </si>
  <si>
    <t>MEMÓRIA DE CÁLCULO 1</t>
  </si>
  <si>
    <t>MEMÓRIA DE CÁLCULO 3</t>
  </si>
  <si>
    <t>MEMÓRIA DE CÁLCULO 4</t>
  </si>
  <si>
    <t>MEMÓRIA DE CÁLCULO 6</t>
  </si>
  <si>
    <t>Total</t>
  </si>
  <si>
    <t>Perímetro</t>
  </si>
  <si>
    <t>MEMÓRIA DE CÁLCULO 7</t>
  </si>
  <si>
    <t>MEMÓRIA DE CÁLCULO 8</t>
  </si>
  <si>
    <t>MEMÓRIA DE CÁLCULO 9</t>
  </si>
  <si>
    <t>MEMÓRIA DE CÁLCULO 10</t>
  </si>
  <si>
    <t>Código</t>
  </si>
  <si>
    <t>Descrição</t>
  </si>
  <si>
    <t>UNID</t>
  </si>
  <si>
    <t>Valor</t>
  </si>
  <si>
    <t>und</t>
  </si>
  <si>
    <t>Total do ítem</t>
  </si>
  <si>
    <t>h</t>
  </si>
  <si>
    <t>SERVENTE COM ENCARGOS COMPLEMENTARES</t>
  </si>
  <si>
    <t>COMPOSIÇÃO 1</t>
  </si>
  <si>
    <t>4.2.2</t>
  </si>
  <si>
    <t>4.2.3</t>
  </si>
  <si>
    <t>Data Base:</t>
  </si>
  <si>
    <t>Parcela do BDI</t>
  </si>
  <si>
    <t xml:space="preserve">AC = Taxa de Administração Central </t>
  </si>
  <si>
    <t>S e G = Taxas de Seguro e Garantia</t>
  </si>
  <si>
    <t>R = Taxa de Risco</t>
  </si>
  <si>
    <t>DF = Taxa de Despesas Financeiras</t>
  </si>
  <si>
    <t>L = Taxa de Lucro / Remuneração</t>
  </si>
  <si>
    <t>I = Taxa de incidência de Impostos (PIS, COFINS e ISS)</t>
  </si>
  <si>
    <t xml:space="preserve">Impostos </t>
  </si>
  <si>
    <t>ISS</t>
  </si>
  <si>
    <t>PIS</t>
  </si>
  <si>
    <t>COFINS</t>
  </si>
  <si>
    <t>6.4</t>
  </si>
  <si>
    <t>CPRB</t>
  </si>
  <si>
    <t>Total Impostos =</t>
  </si>
  <si>
    <t>Fórmula para o cálculo de BDI</t>
  </si>
  <si>
    <t>Notas:</t>
  </si>
  <si>
    <t>1) Alíquota de ISS é determinada pela “Relação de Serviços”  do município onde se prestará o serviço conforme art. 1º e art.8º da Lei Complementar nº116/2001.</t>
  </si>
  <si>
    <t>2) Alíquota máxima de PIS é de até 1,65% conforme Lei nº10.637/02 em consonância com o Regime de Tributação da Empresa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</si>
  <si>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</si>
  <si>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</si>
  <si>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5) Antes da aplicação do BDI (Teto Empresa de Lucros Real ) os insumos constantes do art.3º da Lei nº10.637/02 deverão sofrer redução de 1,65%, após 31/12/2008, reduzir também do insumoo percentual de 7,6% da COFINS conforme art. 3º da Lei nº10.833/03 combinado com o inciso XX do art.10 da mesma Lei.</t>
  </si>
  <si>
    <t>COMPOSIÇÃO ANALÍTICA DA TAXA DE BENEFÍCIO E DESPESAS INDIRETAS (BDI)</t>
  </si>
  <si>
    <t>Proponente:</t>
  </si>
  <si>
    <t>Objeto:</t>
  </si>
  <si>
    <t>BDI</t>
  </si>
  <si>
    <t xml:space="preserve">Responsável Técnico:    </t>
  </si>
  <si>
    <t xml:space="preserve">Registro Profissional:  </t>
  </si>
  <si>
    <t>Descrição do item</t>
  </si>
  <si>
    <t>end.</t>
  </si>
  <si>
    <t>V1</t>
  </si>
  <si>
    <t>V2</t>
  </si>
  <si>
    <t>V3</t>
  </si>
  <si>
    <t>Município/UF:</t>
  </si>
  <si>
    <t>ENCARGOS SOCIAIS SOBRE A MÃO DE OBRA</t>
  </si>
  <si>
    <t>CÓDIGO</t>
  </si>
  <si>
    <t>COM DESONERAÇÃO</t>
  </si>
  <si>
    <t>SEM DESONERAÇÃO</t>
  </si>
  <si>
    <t>HORISTA (%)</t>
  </si>
  <si>
    <t>MENSALISTA (%)</t>
  </si>
  <si>
    <t>GRUPO A</t>
  </si>
  <si>
    <t>A1</t>
  </si>
  <si>
    <t>INSS</t>
  </si>
  <si>
    <t>A2</t>
  </si>
  <si>
    <t xml:space="preserve">SESI </t>
  </si>
  <si>
    <t>A3</t>
  </si>
  <si>
    <t>SENAI</t>
  </si>
  <si>
    <t>A4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</si>
  <si>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</si>
  <si>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</si>
  <si>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</si>
  <si>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</si>
  <si>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</si>
  <si>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</si>
  <si>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>Seguro Contra Acidentes de Trabalho</t>
  </si>
  <si>
    <t>A8</t>
  </si>
  <si>
    <t xml:space="preserve">FGTS </t>
  </si>
  <si>
    <t>A9</t>
  </si>
  <si>
    <t xml:space="preserve">SECONCI </t>
  </si>
  <si>
    <t>A</t>
  </si>
  <si>
    <t>GRUPO B</t>
  </si>
  <si>
    <t>B1</t>
  </si>
  <si>
    <t xml:space="preserve">Repouso Semanal Remunerado </t>
  </si>
  <si>
    <t>Não incide</t>
  </si>
  <si>
    <t>B2</t>
  </si>
  <si>
    <t>Feriados</t>
  </si>
  <si>
    <t>B3</t>
  </si>
  <si>
    <t xml:space="preserve">Auxílio - Enfermidade </t>
  </si>
  <si>
    <t>B4</t>
  </si>
  <si>
    <t xml:space="preserve">13º Salário </t>
  </si>
  <si>
    <t>B5</t>
  </si>
  <si>
    <t>Licença Paternidade</t>
  </si>
  <si>
    <t>B6</t>
  </si>
  <si>
    <t>Faltas Justificadas</t>
  </si>
  <si>
    <t>B7</t>
  </si>
  <si>
    <t xml:space="preserve">Dias de Chuvas </t>
  </si>
  <si>
    <t>B8</t>
  </si>
  <si>
    <t>Auxílio Acidente de Trabalho</t>
  </si>
  <si>
    <t>B9</t>
  </si>
  <si>
    <t xml:space="preserve">Férias Gozadas 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</si>
  <si>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</si>
  <si>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</si>
  <si>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</si>
  <si>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</si>
  <si>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</si>
  <si>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</si>
  <si>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</si>
  <si>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</si>
  <si>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</si>
  <si>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</si>
  <si>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</si>
  <si>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</si>
  <si>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</si>
  <si>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 xml:space="preserve">Indenização Adicional </t>
  </si>
  <si>
    <t>C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</si>
  <si>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</si>
  <si>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</si>
  <si>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</si>
  <si>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</si>
  <si>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</si>
  <si>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D</t>
  </si>
  <si>
    <t>TOTAL (A+B+C+D)</t>
  </si>
  <si>
    <t>REPASSE</t>
  </si>
  <si>
    <t>CP</t>
  </si>
  <si>
    <t>APLICAÇÃO E LIXAMENTO DE MASSA LÁTEX EM PAREDES, DUAS DEMÃOS. AF_06/2014</t>
  </si>
  <si>
    <t>APLICAÇÃO MANUAL DE PINTURA COM TINTA LÁTEX ACRÍLICA EM PAREDES, DUAS DEMÃOS. AF_06/2014</t>
  </si>
  <si>
    <t>kg/m</t>
  </si>
  <si>
    <t>COMPOSIÇÕES</t>
  </si>
  <si>
    <t>14.3</t>
  </si>
  <si>
    <t>Conexões Caixa d'água</t>
  </si>
  <si>
    <t xml:space="preserve">PLACA DE SINALIZACAO DE SEGURANCA CONTRA INCENDIO, FOTOLUMINESCENTE, RETANGULAR, *20 X 40* CM, EM PVC *2* MM ANTI-CHAMAS (SIMBOLOS, CORES E PICTOGRAMAS CONFORME NBR 13434) </t>
  </si>
  <si>
    <t>M</t>
  </si>
  <si>
    <t>M2</t>
  </si>
  <si>
    <t>KG</t>
  </si>
  <si>
    <t>H</t>
  </si>
  <si>
    <t>M3</t>
  </si>
  <si>
    <t>total</t>
  </si>
  <si>
    <t>UN</t>
  </si>
  <si>
    <t>AUXILIAR DE ELETRICISTA COM ENCARGOS COMPLEMENTARES</t>
  </si>
  <si>
    <t>ELETRICISTA COM ENCARGOS COMPLEMENTARES</t>
  </si>
  <si>
    <t>FABRICAÇÃO, MONTAGEM E DESMONTAGEM DE FÔRMA PARA VIGA BALDRAME, EM MADEIRA SERRADA, E=25 MM, 4 UTILIZAÇÕES. AF_06/2017</t>
  </si>
  <si>
    <t>Local</t>
  </si>
  <si>
    <t>Comprimento</t>
  </si>
  <si>
    <t>PREFEITURA MUNICIPAL DE PLACAS</t>
  </si>
  <si>
    <t>PLACAS / PA</t>
  </si>
  <si>
    <t>Local:</t>
  </si>
  <si>
    <t>BARRA DE APOIO RETA, EM ACO INOX POLIDO, COMPRIMENTO 80 CM,  FIXADA NA PAREDE - FORNECIMENTO E INSTALAÇÃO. AF_01/2020</t>
  </si>
  <si>
    <t>SABONETEIRA PLASTICA TIPO DISPENSER PARA SABONETE LIQUIDO COM RESERVATORIO 800 A 1500 ML, INCLUSO FIXAÇÃO. AF_01/2020</t>
  </si>
  <si>
    <t>PAPELEIRA DE PAREDE EM METAL CROMADO SEM TAMPA, INCLUSO FIXAÇÃO. AF_01/2020</t>
  </si>
  <si>
    <t>COMPOSIÇÃO 2</t>
  </si>
  <si>
    <t>Comp. Total</t>
  </si>
  <si>
    <t>ATERRO MANUAL DE VALAS COM SOLO ARGILO-ARENOSO E COMPACTAÇÃO MECANIZADA. AF_05/2016</t>
  </si>
  <si>
    <t>LASTRO DE CONCRETO MAGRO, APLICADO EM BLOCOS DE COROAMENTO OU SAPATAS, ESPESSURA DE 5 CM. AF_08/2017</t>
  </si>
  <si>
    <t>UND</t>
  </si>
  <si>
    <t>Caixas e Acessórios</t>
  </si>
  <si>
    <t>CURVA CURTA 90 GRAUS, PVC, SERIE NORMAL, ESGOTO PREDIAL, DN 100 MM, JUNTA ELÁSTICA, FORNECIDO E INSTALADO EM RAMAL DE DESCARGA OU RAMAL DE ESGOTO SANITÁRIO. AF_12/2014</t>
  </si>
  <si>
    <t>TUBO PVC, SERIE NORMAL, ESGOTO PREDIAL, DN 50 MM, FORNECIDO E INSTALADO EM PRUMADA DE ESGOTO SANITÁRIO OU VENTILAÇÃO. AF_12/2014</t>
  </si>
  <si>
    <t>TUBO PVC, SERIE NORMAL, ESGOTO PREDIAL, DN 100 MM, FORNECIDO E INSTALADO EM PRUMADA DE ESGOTO SANITÁRIO OU VENTILAÇÃO. AF_12/2014</t>
  </si>
  <si>
    <t>CAIXA SIFONADA, PVC, DN 100 X 100 X 50 MM, JUNTA ELÁSTICA, FORNECIDA E INSTALADA EM RAMAL DE DESCARGA OU EM RAMAL DE ESGOTO SANITÁRIO. AF_12/2014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</si>
  <si>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</si>
  <si>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TOALHEIRO PLASTICO TIPO DISPENSER PARA PAPEL TOALHA INTERFOLHADO</t>
  </si>
  <si>
    <t>Louças, Acessórios e Metais</t>
  </si>
  <si>
    <t>SUMIDOURO  EM ANEIS DE CONCRETO ARMADO PRÉ-MOLDADO COM DIÂMETRO DE 3,0M E ALTURA DE 2,5M</t>
  </si>
  <si>
    <t>FILTRO ANAERÓBIO EM ANEIS DE CONCRETO ARMADO PRÉ-MOLDADO COM DIÂMETRO DE 2,50M E ALTURA DE 2,0M</t>
  </si>
  <si>
    <t>FOSSA SÉPTICA EM ANEIS DE CONCRETO DE CONCRETO ARMADO PRÉ-MOLDADO COM DIÂMETRO DE 2,0M E ALTURA DE 3,0M</t>
  </si>
  <si>
    <t xml:space="preserve">Total </t>
  </si>
  <si>
    <t>PREVENÇÃO E COMBATE A INCÊNDIO</t>
  </si>
  <si>
    <t>Quantidade</t>
  </si>
  <si>
    <t>BARRACÃO DE MADEIRA/ALMOXARIFADO</t>
  </si>
  <si>
    <t>M²</t>
  </si>
  <si>
    <t>ARMAÇÃO DE ESTRUTURAS DE CONCRETO ARMADO, EXCETO VIGAS, PILARES, LAJES E FUNDAÇÕES, UTILIZANDO AÇO CA-50 DE 8,0 MM - MONTAGEM. AF_12/2015</t>
  </si>
  <si>
    <t>Comprimentos</t>
  </si>
  <si>
    <t>Total (m)</t>
  </si>
  <si>
    <t>Instalações Hidrosanitárias</t>
  </si>
  <si>
    <t>Água Fria</t>
  </si>
  <si>
    <t>Esgoto Sanitário</t>
  </si>
  <si>
    <t>15.2</t>
  </si>
  <si>
    <t>INSTALAÇÕES ELÉTRICAS</t>
  </si>
  <si>
    <t>LUMINÁRIA DE EMERGÊNCIA, COM 30 LÂMPADAS LED DE 2 W, SEM REATOR - FORNECIMENTO E INSTALAÇÃO. AF_02/2020</t>
  </si>
  <si>
    <t>V10</t>
  </si>
  <si>
    <t>Total (m²)</t>
  </si>
  <si>
    <t>BARRA DE APOIO RETA, EM ACO INOX POLIDO, COMPRIMENTO 60CM, FIXADA NA PAREDE - FORNECIMENTO E INSTALAÇÃO. AF_01/2020</t>
  </si>
  <si>
    <t>Pintura piso (extintor)</t>
  </si>
  <si>
    <t>PLACA DE SINALIZACAO DE SEGURANCA CONTRA INCENDIO, FOTOLUMINESCENTE, QUADRADA, *20 X 20* CM, EM PVC *2* MM ANTI-CHAMAS (SIMBOLOS, CORES E PICTOGRAMAS CONFORME NBR 13434)</t>
  </si>
  <si>
    <t>SUMIDOURO CIRCULAR, EM CONCRETO PRÉ-MOLDADO, DIÂMETRO INTERNO = 1,88 M, ALTURA INTERNA = 2,00 M, ÁREA DE INFILTRAÇÃO: 13,1 M² (PARA 5 CONTRIBUINTES). AF_12/2020</t>
  </si>
  <si>
    <t>TUBO PVC, SÉRIE R, ÁGUA PLUVIAL, DN 100 MM, FORNECIDO E INSTALADO EM CONDUTORES VERTICAIS DE ÁGUAS PLUVIAIS. AF_12/2014</t>
  </si>
  <si>
    <t>ADAPTADOR CURTO COM BOLSA E ROSCA PARA REGISTRO, PVC, SOLDÁVEL, DN  25 MM X 3/4 , INSTALADO EM RESERVAÇÃO DE ÁGUA DE EDIFICAÇÃO QUE POSSUA RESERVATÓRIO DE FIBRA/FIBROCIMENTO   FORNECIMENTO E INSTALAÇÃO. AF_06/2016</t>
  </si>
  <si>
    <t>FIXAÇÃO DE TUBOS HORIZONTAIS DE PVC, CPVC OU COBRE DIÂMETROS MENORES OU IGUAIS A 40 MM COM ABRAÇADEIRA METÁLICA RÍGIDA TIPO  D  1/2" , FIXADA DIRETAMENTE NA LAJE. AF_05/2015</t>
  </si>
  <si>
    <t>ESCAVAÇÃO MANUAL DE VALA COM PROFUNDIDADE MENOR OU IGUAL A 1,30 M. AF_02/2021</t>
  </si>
  <si>
    <t>ARMAÇÃO DE ESTRUTURAS DE CONCRETO ARMADO, EXCETO VIGAS, PILARES, LAJES E FUNDAÇÕES, UTILIZANDO AÇO CA-60 DE 5,0 MM - MONTAGEM. AF_12/2015</t>
  </si>
  <si>
    <t>ARMAÇÃO DE ESTRUTURAS DE CONCRETO ARMADO, EXCETO VIGAS, PILARES, LAJES E FUNDAÇÕES, UTILIZANDO AÇO CA-50 DE 6,3 MM - MONTAGEM. AF_12/2015</t>
  </si>
  <si>
    <t>Responsável Técnico</t>
  </si>
  <si>
    <t>Data base:</t>
  </si>
  <si>
    <t>Registro:</t>
  </si>
  <si>
    <t>Município:</t>
  </si>
  <si>
    <t xml:space="preserve">Data Base:  </t>
  </si>
  <si>
    <t>Registro Profissional</t>
  </si>
  <si>
    <t>Planilha Orçamentária</t>
  </si>
  <si>
    <t>Fonte</t>
  </si>
  <si>
    <t>SINAPI</t>
  </si>
  <si>
    <t>4.2.4</t>
  </si>
  <si>
    <t>4.2.5</t>
  </si>
  <si>
    <t>MEMÓRIA DE CÁLCULO 13</t>
  </si>
  <si>
    <t>MEMÓRIA DE CÁLCULO 14</t>
  </si>
  <si>
    <t>MEMÓRIA DE CÁLCULO 15</t>
  </si>
  <si>
    <t>MEMÓRIA DE CÁLCULO 16</t>
  </si>
  <si>
    <t>Paredes e Divisórias</t>
  </si>
  <si>
    <t>Ambientes</t>
  </si>
  <si>
    <t>Altura</t>
  </si>
  <si>
    <t>DML</t>
  </si>
  <si>
    <t>Copa</t>
  </si>
  <si>
    <t>Chefe de Gabinete</t>
  </si>
  <si>
    <t>Vice-Prefeito</t>
  </si>
  <si>
    <t>Sala de Reunião</t>
  </si>
  <si>
    <t>Gabinete Prefeita</t>
  </si>
  <si>
    <t>Refeitório</t>
  </si>
  <si>
    <t>Área de Serviço</t>
  </si>
  <si>
    <t>Cozinha</t>
  </si>
  <si>
    <t>Auditório</t>
  </si>
  <si>
    <t>Compras</t>
  </si>
  <si>
    <t>Junta Militar</t>
  </si>
  <si>
    <t>Pavimento Térreo</t>
  </si>
  <si>
    <t>Térreo</t>
  </si>
  <si>
    <t>Área Total</t>
  </si>
  <si>
    <t>Divisórias</t>
  </si>
  <si>
    <t>CHAPISCO APLICADO EM ALVENARIAS E ESTRUTURAS DE CONCRETO INTERNAS, COM COLHER DE PEDREIRO. ARGAMASSA TRAÇO 1:3 COM PREPARO MANUAL. AF_06/2014</t>
  </si>
  <si>
    <t>Ambiente</t>
  </si>
  <si>
    <t>Total Pavimento Térreo</t>
  </si>
  <si>
    <t>Emboço</t>
  </si>
  <si>
    <t>Chapisco Total</t>
  </si>
  <si>
    <t>Área de Reboco</t>
  </si>
  <si>
    <t>Área de Emboço</t>
  </si>
  <si>
    <t>JUNÇÃO SIMPLES, PVC, SERIE NORMAL, ESGOTO PREDIAL, DN 100 X 100 MM, JUNTA ELÁSTICA, FORNECIDO E INSTALADO EM PRUMADA DE ESGOTO SANITÁRIO OU VENTILAÇÃO. AF_12/2014</t>
  </si>
  <si>
    <t>CAIXA DE GORDURA SIMPLES (CAPACIDADE: 36 L), RETANGULAR, EM ALVENARIA COM BLOCOS DE CONCRETO, DIMENSÕES INTERNAS = 0,2X0,4 M, ALTURA INTERNA = 0,8 M. AF_12/2020</t>
  </si>
  <si>
    <t>Quant. Total</t>
  </si>
  <si>
    <t>Total Platibanda</t>
  </si>
  <si>
    <t>3.3</t>
  </si>
  <si>
    <t>Protocolo</t>
  </si>
  <si>
    <t>Arquivo</t>
  </si>
  <si>
    <t>Controle Interno</t>
  </si>
  <si>
    <t>Sala de Contabilidade</t>
  </si>
  <si>
    <t>Tributos</t>
  </si>
  <si>
    <t>IMPERMEABILIZAÇÃO DE SUPERFÍCIE COM EMULSÃO ASFÁLTICA, 2 DEMÃOS AF_06/2018</t>
  </si>
  <si>
    <t>13.1.1</t>
  </si>
  <si>
    <t>13.1.2</t>
  </si>
  <si>
    <t>15.3</t>
  </si>
  <si>
    <t>15.4</t>
  </si>
  <si>
    <t>17.1</t>
  </si>
  <si>
    <t>Largura</t>
  </si>
  <si>
    <t>Locais</t>
  </si>
  <si>
    <t>Áreas (m²)</t>
  </si>
  <si>
    <t>Pav. Térreo</t>
  </si>
  <si>
    <t>Área (m²)</t>
  </si>
  <si>
    <t>Forro Total</t>
  </si>
  <si>
    <t>DESCONTO JANELAS</t>
  </si>
  <si>
    <t>Total de Descontos de Janelas (m²)</t>
  </si>
  <si>
    <t>DESCONTO PORTAS</t>
  </si>
  <si>
    <t>Total de Descontos das Portas (m²)</t>
  </si>
  <si>
    <t>Somatórias dos descontos</t>
  </si>
  <si>
    <t>Total parcial alvenaria (m²)</t>
  </si>
  <si>
    <t>Total de descontos (m²)</t>
  </si>
  <si>
    <t>Sala de Comunicação</t>
  </si>
  <si>
    <t>Total Térreo</t>
  </si>
  <si>
    <t>Cartório Eleitoral</t>
  </si>
  <si>
    <t>Hall</t>
  </si>
  <si>
    <t>Tipo</t>
  </si>
  <si>
    <t>Total de desconto</t>
  </si>
  <si>
    <t>Descontos Janelas</t>
  </si>
  <si>
    <t>Descontos Portas</t>
  </si>
  <si>
    <t>Janelas</t>
  </si>
  <si>
    <t>ALVENARIA DE VEDAÇÃO COM ELEMENTO VAZADO DE CERÂMICA (COBOGÓ) DE 7X20X20CM E ARGAMASSA DE ASSENTAMENTO COM PREPARO EM BETONEIRA. AF_05/2020</t>
  </si>
  <si>
    <t>PORTA EM ALUMÍNIO DE ABRIR TIPO VENEZIANA COM GUARNIÇÃO, FIXAÇÃO COM PARAFUSOS - FORNECIMENTO E INSTALAÇÃO. AF_12/2019</t>
  </si>
  <si>
    <t>SOLEIRA EM GRANITO, LARGURA 15 CM, ESPESSURA 2,0 CM. AF_09/2020</t>
  </si>
  <si>
    <t xml:space="preserve">Comprimento </t>
  </si>
  <si>
    <t>Contra verga (+ 0,30m)</t>
  </si>
  <si>
    <t xml:space="preserve">Quantidade </t>
  </si>
  <si>
    <t>Total Pav. Térreo</t>
  </si>
  <si>
    <t>Verga (+ 0,30m)</t>
  </si>
  <si>
    <t>APLICAÇÃO DE FUNDO SELADOR ACRÍLICO EM PAREDES, UMA DEMÃO. AF_06/2014</t>
  </si>
  <si>
    <t>CJ</t>
  </si>
  <si>
    <t>CONJ. DE FERRAGENS PARA PORTA DE VIDRO TEMPERADO, EM ZAMAC CROMADO, CONTEMPLANDO: DOBRADICA INF.; DOBRADICA SUP.; PIVO PARA DOBRADICA INF.; PIVO PARA DOBRADICA SUP.; FECHADURA CENTRAL EM ZAMC CROMADO; CONTRA FECHADURA DE PRESSAO</t>
  </si>
  <si>
    <t>VIDRACEIRO COM ENCARGOS COMPLEMENTARES</t>
  </si>
  <si>
    <t>COMPOSIÇÃO 6</t>
  </si>
  <si>
    <t>REVESTIMENTO CERÂMICO PARA PISO COM PLACAS TIPO ESMALTADA EXTRA DE DIMENSÕES 35X35 CM APLICADA EM AMBIENTES DE ÁREA MAIOR QUE 10 M2. AF_06/2014</t>
  </si>
  <si>
    <t>PLANTIO DE GRAMA EM PLACAS. AF_05/2018</t>
  </si>
  <si>
    <t>RALO FOFO SEMIESFERICO, 100 MM, PARA LAJES/ CALHAS. FORNECIMENTO E INSTALAÇÃO</t>
  </si>
  <si>
    <t>RUFO EM CHAPA DE AÇO GALVANIZADO NÚMERO 24, CORTE DE 25 CM, INCLUSO TRANSPORTE VERTICAL. AF_07/2019</t>
  </si>
  <si>
    <t>COMPOSIÇÃO 8</t>
  </si>
  <si>
    <t>RALO FOFO SEMIESFERICO, 100 MM, PARA LAJES/ CALHAS</t>
  </si>
  <si>
    <t>ARGAMASSA TRAÇO 1:4 (EM VOLUME DE CIMENTO E AREIA GROSSA ÚMIDA) PARA CHAPISCO CONVENCIONAL, PREPARO MECÂNICO COM BETONEIRA 400 L. AF_08/2019</t>
  </si>
  <si>
    <t>M³</t>
  </si>
  <si>
    <t>PEDREIRO COM ENCARGOS COMPLEMENTARES</t>
  </si>
  <si>
    <t xml:space="preserve">Item </t>
  </si>
  <si>
    <t>COMPOSIÇÃO 22</t>
  </si>
  <si>
    <t>AJUDANTE DE PEDREIRO COM ENCARGOS COMPLEMENTARES</t>
  </si>
  <si>
    <t>PLACA DE SINALIZACAO DE SEGURANCA CONTRA INCENDIO, FOTOLUMINESCENTE, RETANGULAR, *20 X 40* CM, EM PVC *2* MM ANTI-CHAMAS (SIMBOLOS, CORES E PICTOGRAMAS CONFORME NBR 13434)</t>
  </si>
  <si>
    <t>COMPOSIÇÃO 9</t>
  </si>
  <si>
    <t>COMPOSIÇÃO 10</t>
  </si>
  <si>
    <t>FIXAÇÃO DE TUBOS VERTICAIS DE PPR DIÂMETROS MAIORES QUE 75 MM COM ABRAÇADEIRA METÁLICA RÍGIDA TIPO D 3", FIXADA EM PERFILADO EM ALVENARIA. AF_05/2015</t>
  </si>
  <si>
    <t>Área Total (m²)</t>
  </si>
  <si>
    <t>COMPOSIÇÃO 11</t>
  </si>
  <si>
    <t>COMPOSIÇÃO 12</t>
  </si>
  <si>
    <t>16.2</t>
  </si>
  <si>
    <t>16.3</t>
  </si>
  <si>
    <t>16.4</t>
  </si>
  <si>
    <t>16.5</t>
  </si>
  <si>
    <t>16.6</t>
  </si>
  <si>
    <t>18.1</t>
  </si>
  <si>
    <t>VASO SANITARIO SIFONADO CONVENCIONAL PARA PCD SEM FURO FRONTAL COM  LOUÇA BRANCA SEM ASSENTO -  FORNECIMENTO E INSTALAÇÃO. AF_01/2020</t>
  </si>
  <si>
    <t>ASSENTO SANITÁRIO CONVENCIONAL - FORNECIMENTO E INSTALACAO. AF_01/2020</t>
  </si>
  <si>
    <t>CHUVEIRO ELÉTRICO COMUM CORPO PLÁSTICO, TIPO DUCHA  FORNECIMENTO E INSTALAÇÃO. AF_01/2020</t>
  </si>
  <si>
    <t>TOALHEIRO PLASTICO TIPO DISPENSER PARA PAPEL TOALHA INTERFOLHADO. FORNECIMENTO E INSTALAÇÃO</t>
  </si>
  <si>
    <t>CUBA DE EMBUTIR DE AÇO INOXIDÁVEL MÉDIA, INCLUSO VÁLVULA TIPO AMERICANA EM METAL CROMADO E SIFÃO FLEXÍVEL EM PVC - FORNECIMENTO E INSTALAÇÃO. AF_01/2020</t>
  </si>
  <si>
    <t>TORNEIRA CROMADA 1/2 OU 3/4 PARA TANQUE, PADRÃO POPULAR - FORNECIMENTO E INSTALAÇÃO. AF_01/2020</t>
  </si>
  <si>
    <t>COMPOSIÇÃO 13</t>
  </si>
  <si>
    <t>COMPOSIÇÃO 14</t>
  </si>
  <si>
    <t>COMPOSIÇÃO 15</t>
  </si>
  <si>
    <t>COMPOSIÇÃO 16</t>
  </si>
  <si>
    <t>ENCANADOR OU BOMBEIRO HIDRÁULICO COM ENCARGOS COMPLEMENTARES</t>
  </si>
  <si>
    <t>MASSA PLASTICA PARA MARMORE/GRANITO</t>
  </si>
  <si>
    <t>BUCHA DE NYLON SEM ABA S10, COM PARAFUSO DE 6,10 X 65 MM EM ACO ZINCADO COM ROSCA SOBERBA, CABECA CHATA E FENDA PHILLIPS</t>
  </si>
  <si>
    <t>GRANITO PARA BANCADA, POLIDO, TIPO ANDORINHA/ QUARTZ/ CASTELO/ CORUMBA OU OUTROS EQUIVALENTES DA REGIAO, E=  *2,5* CM</t>
  </si>
  <si>
    <t>REJUNTE EPOXI BRANCO</t>
  </si>
  <si>
    <t>ENGATE FLEXÍVEL EM PLÁSTICO BRANCO, 1/2 X 40CM - FORNECIMENTO E INSTALAÇÃO. AF_01/2020</t>
  </si>
  <si>
    <t>CUBA DE EMBUTIR OVAL EM LOUÇA BRANCA, 35 X 50CM OU EQUIVALENTE, INCLUSO VÁLVULA EM METAL CROMADO E SIFÃO FLEXÍVEL EM PVC - FORNECIMENTO E INSTALAÇÃO. AF_01/2020</t>
  </si>
  <si>
    <t>ABERTURA PARA ENCAIXE DE CUBA OU LAVATORIO EM BANCADA DE MARMORE/ GRANITO OU OUTRO TIPO DE PEDRA NATURAL</t>
  </si>
  <si>
    <t>FURO PARA TORNEIRA OU OUTROS ACESSORIOS  EM BANCADA DE MARMORE/ GRANITO OU OUTRO TIPO DE PEDRA NATURAL</t>
  </si>
  <si>
    <t>MARMORISTA/GRANITEIRO COM ENCARGOS COMPLEMENTARES</t>
  </si>
  <si>
    <t>BANCADA GRANITO CINZA  150 X 60 CM, COM CUBA DE EMBUTIR DE AÇO, VÁLVULA AMERICANA EM METAL, SIFÃO FLEXÍVEL EM PVC, ENGATE FLEXÍVEL 30 CM, TORNEIRA CROMADA LONGA, DE PAREDE, 1/2 OU 3/4, P/ COZINHA, PADRÃO POPULAR - FORNEC. E INSTALAÇÃO. AF_01/2020</t>
  </si>
  <si>
    <t>COMPOSIÇÃO 17</t>
  </si>
  <si>
    <t>TORNEIRA CROMADA LONGA, DE PAREDE, 1/2 OU 3/4, PARA PIA DE COZINHA, PADRÃO POPULAR - FORNECIMENTO E INSTALAÇÃO. AF_01/2020</t>
  </si>
  <si>
    <t>COMPOSIÇÃO 18</t>
  </si>
  <si>
    <t>Banheiros (PCD)</t>
  </si>
  <si>
    <t>COMPOSIÇÃO 19</t>
  </si>
  <si>
    <t>Área Construída</t>
  </si>
  <si>
    <t>COMPOSIÇÃO 20</t>
  </si>
  <si>
    <t>COMPOSIÇÃO 21</t>
  </si>
  <si>
    <t>ENGATE FLEXÍVEL EM PLÁSTICO BRANCO, 1/2 X 30CM - FORNECIMENTO E INSTALAÇÃO. AF_01/2020</t>
  </si>
  <si>
    <t>CHAPISCO APLICADO EM ALVENARIAS E ESTRUTURAS DE CONCRETO INTERNAS, COM COLHER DE PEDREIRO.  ARGAMASSA TRAÇO 1:3 COM PREPARO MANUAL. AF_06/2014</t>
  </si>
  <si>
    <t>EMBOÇO, PARA RECEBIMENTO DE CERÂMICA, EM ARGAMASSA TRAÇO 1:2:8, PREPARO MANUAL, APLICADO MANUALMENTE EM FACES INTERNAS DE PAREDES, PARA AMBIENTE COM ÁREA MENOR QUE 5M2, ESPESSURA DE 10MM, COM EXECUÇÃO DE TALISCAS. AF_06/2014</t>
  </si>
  <si>
    <t>REVESTIMENTO CERÂMICO PARA PAREDES INTERNAS COM PLACAS TIPO ESMALTADA EXTRA DE DIMENSÕES 20X20 CM APLICADAS EM AMBIENTES DE ÁREA MAIOR QUE 5 M² NA ALTURA INTEIRA DAS PAREDES. AF_06/2014</t>
  </si>
  <si>
    <t>TORNEIRA CROMADA DE MESA, 1/2 OU 3/4, PARA LAVATÓRIO, PADRÃO POPULAR - FORNECIMENTO E INSTALAÇÃO. AF_01/2020</t>
  </si>
  <si>
    <t>SIFÃO DO TIPO FLEXÍVEL EM PVC 1  X 1.1/2  - FORNECIMENTO E INSTALAÇÃO. AF_01/2020</t>
  </si>
  <si>
    <t>CONCRETO FCK = 15MPA, TRAÇO 1:3,4:3,5 (CIMENTO/ AREIA MÉDIA/ BRITA 1)  - PREPARO MANUAL. AF_07/2016</t>
  </si>
  <si>
    <t>BANCADA/BANCA/PIA DE ACO INOXIDAVEL (AISI 430) COM 1 CUBA CENTRAL, COM VALVULA, ESCORREDOR DUPLO, DE *0,55 X 1,20* M</t>
  </si>
  <si>
    <t>COMPOSIÇÃO 23</t>
  </si>
  <si>
    <t>COMPOSIÇÃO 24</t>
  </si>
  <si>
    <t>SUPORTE DE FIXACAO PARA ESPELHO / PLACA 4" X 4", PARA 6 MODULOS, PARA INSTALACAO DE TOMADAS E INTERRUPTORES (SOMENTE SUPORTE)</t>
  </si>
  <si>
    <t>ESPELHO CRISTAL E = 4 MM</t>
  </si>
  <si>
    <t>COIFA NARDELLI ILHA / TETO RETANGULAR INOX 120 CM, OU EQUIVALENTE.</t>
  </si>
  <si>
    <t xml:space="preserve">M2    </t>
  </si>
  <si>
    <t>SUPORTE MÃO FRANCESA EM AÇO, ABAS IGUAIS 30 CM, CAPACIDADE MINIMA 60 KG, BRANCO - FORNECIMENTO E INSTALAÇÃO. AF_01/2020</t>
  </si>
  <si>
    <t>7º MÊS</t>
  </si>
  <si>
    <t>8º MÊS</t>
  </si>
  <si>
    <t>9º MÊS</t>
  </si>
  <si>
    <t>10º MÊS</t>
  </si>
  <si>
    <t>11º MÊS</t>
  </si>
  <si>
    <t>12º MÊS</t>
  </si>
  <si>
    <t>MARUZA BAPTISTA</t>
  </si>
  <si>
    <t>CAU - A : 28510-2</t>
  </si>
  <si>
    <t>VASO SANITARIO SIFONADO CONVENCIONAL COM  LOUÇA BRANCA - FORNECIMENTO E INSTALAÇÃO. AF_01/2020</t>
  </si>
  <si>
    <t>RUA OLAVO BILAC N° 408, BAIRRO CENTRO – PLACAS/PARÁ</t>
  </si>
  <si>
    <t>SINAPI-I</t>
  </si>
  <si>
    <t>Setor de Terras</t>
  </si>
  <si>
    <t>MEMÓRIA DE CÁLCULO 0</t>
  </si>
  <si>
    <t>Administração da obra</t>
  </si>
  <si>
    <t>ENGENHEIRO CIVIL DE OBRA JUNIOR COM ENCARGOS COMPLEMENTARES</t>
  </si>
  <si>
    <t>h/dia</t>
  </si>
  <si>
    <t>dias/mês</t>
  </si>
  <si>
    <t>duração da obra (mês)</t>
  </si>
  <si>
    <t>ENCARREGADO GERAL COM ENCARGOS COMPLEMENTARES</t>
  </si>
  <si>
    <t>ADMINISTRAÇÃO DA OBRA COM ENGENHEIRO CIVIL JUNIOR E ENCARREGADO GERAL</t>
  </si>
  <si>
    <t>Cobertura 01</t>
  </si>
  <si>
    <t>Cobertura 02</t>
  </si>
  <si>
    <t>Cobertura 03</t>
  </si>
  <si>
    <t>Cobertura 04</t>
  </si>
  <si>
    <t>Cobertura 05</t>
  </si>
  <si>
    <t>6.5</t>
  </si>
  <si>
    <t>CONCRETO FCK = 15MPA, TRAÇO 1:3,4:3,5 (EM MASSA SECA DE CIMENTO/ AREIA MÉDIA/ BRITA 1) - PREPARO MECÂNICO COM BETONEIRA 400 L. AF_05/2021</t>
  </si>
  <si>
    <t>TELA DE ACO SOLDADA NERVURADA, CA-60, Q-138, (2,20 KG/M2), DIAMETRO DO FIO = 4,2 MM, LARGURA = 2,45 M, ESPACAMENTO DA MALHA = 10  X 10 CM</t>
  </si>
  <si>
    <t xml:space="preserve">CHAPA DE MADEIRA COMPENSADA PLASTIFICADA PARA FORMA DE CONCRETO, DE 2,20 x 1,10 M, E = 10 MM      </t>
  </si>
  <si>
    <t>ARAME RECOZIDO 18 BWG, 1,25 MM (0,01 KG/M)</t>
  </si>
  <si>
    <t>CHAPIM EM CONCRETO APARENTE COM ACABAMENTO DESEMPENADO</t>
  </si>
  <si>
    <t>Circ. Externa 02</t>
  </si>
  <si>
    <t>Circ. Externa 06</t>
  </si>
  <si>
    <t>Circ. Externa 05</t>
  </si>
  <si>
    <t>Circ. Externa 04</t>
  </si>
  <si>
    <t>Circ. Externa 01</t>
  </si>
  <si>
    <t>Circ. Externa 03</t>
  </si>
  <si>
    <t>Canteiro 1</t>
  </si>
  <si>
    <t>Canteiro 2</t>
  </si>
  <si>
    <t>Canteiro 3</t>
  </si>
  <si>
    <t>Canteiro 4</t>
  </si>
  <si>
    <t>Canteiro 5</t>
  </si>
  <si>
    <t>Canteiro 6</t>
  </si>
  <si>
    <t>Canteiro 7</t>
  </si>
  <si>
    <t>Canteiro 8</t>
  </si>
  <si>
    <t>Canteiro 9</t>
  </si>
  <si>
    <t>6.6</t>
  </si>
  <si>
    <t>6.7</t>
  </si>
  <si>
    <t>Cobertura 1</t>
  </si>
  <si>
    <t>Cobertura 2</t>
  </si>
  <si>
    <t>Cobertura 5</t>
  </si>
  <si>
    <t>Cobertura 3 e 4</t>
  </si>
  <si>
    <t>Espaço de Convivência</t>
  </si>
  <si>
    <t>Patamar Escada</t>
  </si>
  <si>
    <t>Acesso (Rua Olavo Bilac)</t>
  </si>
  <si>
    <t xml:space="preserve">Junta Militar </t>
  </si>
  <si>
    <t>Secretário ADM</t>
  </si>
  <si>
    <t>Total c/ Desconto</t>
  </si>
  <si>
    <t>Chapisco total s/ desconto</t>
  </si>
  <si>
    <t>Chapisco s/ desconto (m²)</t>
  </si>
  <si>
    <t>Total geral</t>
  </si>
  <si>
    <t>Total de Chapisco c/ desconto</t>
  </si>
  <si>
    <t>Emboço s/ desconto</t>
  </si>
  <si>
    <t>88316</t>
  </si>
  <si>
    <t>P8</t>
  </si>
  <si>
    <t>P9</t>
  </si>
  <si>
    <t>P6</t>
  </si>
  <si>
    <t>Almoxarifado Compras</t>
  </si>
  <si>
    <t>P1</t>
  </si>
  <si>
    <t>P2</t>
  </si>
  <si>
    <t>P3</t>
  </si>
  <si>
    <t>P4</t>
  </si>
  <si>
    <t>P5</t>
  </si>
  <si>
    <t>Recursos Humanos</t>
  </si>
  <si>
    <t>Setor Jurídico</t>
  </si>
  <si>
    <t>Soleira (+0,06)</t>
  </si>
  <si>
    <t>Comprimento Total</t>
  </si>
  <si>
    <t>Quantidade Pav. Térreo</t>
  </si>
  <si>
    <t>Quantidade Total</t>
  </si>
  <si>
    <t>E1</t>
  </si>
  <si>
    <t>E2</t>
  </si>
  <si>
    <t>E4</t>
  </si>
  <si>
    <t>E5</t>
  </si>
  <si>
    <t>E6</t>
  </si>
  <si>
    <t>Total Geral de Peitoril</t>
  </si>
  <si>
    <t>Total parcial divisória (m²)</t>
  </si>
  <si>
    <t>Ocorrências</t>
  </si>
  <si>
    <t>FECHADURA DE EMBUTIR PARA PORTA DE BANHEIRO, COMPLETA, ACABAMENTO PADRÃO POPULAR, INCLUSO EXECUÇÃO DE FURO - FORNECIMENTO E INSTALAÇÃO. AF_12/2019</t>
  </si>
  <si>
    <t>PINTURA COM TINTA ALQUÍDICA DE ACABAMENTO (ESMALTE SINTÉTICO ACETINADO) APLICADA A ROLO OU PINCEL SOBRE SUPERFÍCIES METÁLICAS (EXCETO PERFIL) EXECUTADO EM OBRA (02 DEMÃOS). AF_01/2020</t>
  </si>
  <si>
    <t>88242</t>
  </si>
  <si>
    <t>88309</t>
  </si>
  <si>
    <t>PORTA DE ABRIR COM MOLA HIDRÁULICA, EM VIDRO TEMPERADO, 2 FOLHAS DE 90X210 CM, ESPESSURA DD 10MM, INCLUSIVE ACESSÓRIOS. AF_01/2021</t>
  </si>
  <si>
    <t xml:space="preserve">BARRA ANTIPANICO DUPLA, PARA PORTA DE VIDRO, COR CINZA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</si>
  <si>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FORNECIMENTO E INSTALAÇÃO DE PORTA DE ABRIR COM MOLA HIDRÁULICA, EM VIDRO TEMPERADO, 2 FOLHAS DE 90X210 CM, ESPESSURA 10MM, INCLUSIVE ACESSÓRIOS E BARRA ANTIPÂNICO DUPLA.</t>
  </si>
  <si>
    <t>VIDRO TEMPERADO INCOLOR PARA PORTA DE ABRIR, E = 10 MM (SEM FERRAGENS E SEM COLOCACAO)</t>
  </si>
  <si>
    <t>cj</t>
  </si>
  <si>
    <t>FORNECIMENTO E INSTALAÇÃO DE PORTA DE ABRIR COM MOLA HIDRÁULICA, EM VIDRO TEMPERADO, 2 FOLHAS DE 75X210 CM, ESPESSURA 10MM, INCLUSIVE ACESSÓRIOS E BARRA ANTIPÂNICO DUPLA.</t>
  </si>
  <si>
    <t>BATENTE PARA PORTA DE MADEIRA, FIXAÇÃO COM ARGAMASSA, PADRÃO MÉDIO - FORNECIMENTO E INSTALAÇÃO. AF_12/2019_P</t>
  </si>
  <si>
    <t>FECHADURA DE EMBUTIR PARA PORTAS INTERNAS, COMPLETA, ACABAMENTO PADRÃO MÉDIO, COM EXECUÇÃO DE FURO - FORNECIMENTO E INSTALAÇÃO. AF_12/2019</t>
  </si>
  <si>
    <t>Área Total de Chapisco</t>
  </si>
  <si>
    <t>Somatória dos Sanitários</t>
  </si>
  <si>
    <t xml:space="preserve">BANCADA GRANITO CINZA POLIDO, 400X60CM PADRÃO POPULAR, COM 4 CUBAS DE EMBUTIR OVAL EM LOUÇA BRANCA, INCLUINDO VÁLVULA E SIFÃO TIPO GARRAFA EM METAL CROMADO - FORNECIMENTO E INSTALAÇÃO. </t>
  </si>
  <si>
    <t>CUBA DE EMBUTIR DE AÇO INOXIDÁVEL MÉDIA, INCLUSO VÁLVULA TIPO AMERICANA E SIFÃO TIPO GARRAFA EM METAL CROMADO - FORNECIMENTO E INSTALAÇÃO. AF_01/2020</t>
  </si>
  <si>
    <t>BANCADA EM AÇO INOX PARA COPA DE  235 X 60 CM, COM CUBA DE EMBUTIR DE AÇO, VÁLVULA E SIFÃO, ENGATE FLEXÍVEL 30 CM, TORNEIRA CROMADA, DE MESA, 1/2 OU 3/4. FORNEC. E INSTALAÇÃO.</t>
  </si>
  <si>
    <t>COMPOSIÇÃO 25</t>
  </si>
  <si>
    <t>COMPOSIÇÃO 26</t>
  </si>
  <si>
    <t>COMPOSIÇÃO 27</t>
  </si>
  <si>
    <t>COMPOSIÇÃO 28</t>
  </si>
  <si>
    <t>COMPOSIÇÃO 29</t>
  </si>
  <si>
    <t>COMPOSIÇÃO 30</t>
  </si>
  <si>
    <t>COMPOSIÇÃO 31</t>
  </si>
  <si>
    <t>TUBO PVC, SERIE NORMAL, ESGOTO PREDIAL, DN 40 MM, FORNECIDO E INSTALADO EM RAMAL DE DESCARGA OU RAMAL DE ESGOTO SANITÁRIO. AF_12/2014</t>
  </si>
  <si>
    <t>JUNÇÃO SIMPLES, PVC, SERIE NORMAL, ESGOTO PREDIAL, DN 40 MM, JUNTA SOLDÁVEL, FORNECIDO E INSTALADO EM RAMAL DE DESCARGA OU RAMAL DE ESGOTO SANITÁRIO. AF_12/2014</t>
  </si>
  <si>
    <t>CURVA CURTA 90 GRAUS, PVC, SERIE NORMAL, ESGOTO PREDIAL, DN 40 MM, JUNTA SOLDÁVEL, FORNECIDO E INSTALADO EM RAMAL DE DESCARGA OU RAMAL DE ESGOTO SANITÁRIO. AF_12/2014</t>
  </si>
  <si>
    <t>JOELHO 90 GRAUS, PVC, SERIE NORMAL, ESGOTO PREDIAL, DN 40 MM, JUNTA SOLDÁVEL, FORNECIDO E INSTALADO EM RAMAL DE DESCARGA OU RAMAL DE ESGOTO SANITÁRIO. AF_12/2014</t>
  </si>
  <si>
    <t>CAIXA ENTERRADA HIDRÁULICA RETANGULAR, EM CONCRETO PRÉ-MOLDADO, DIMENSÕES INTERNAS: 0,6X0,6X0,5 M. AF_12/2020</t>
  </si>
  <si>
    <t>TUBO, PVC, SOLDÁVEL, DN 25MM, INSTALADO EM RAMAL OU SUB-RAMAL DE ÁGUA - FORNECIMENTO E INSTALAÇÃO. AF_12/2014_P</t>
  </si>
  <si>
    <t>TUBO, PVC, SOLDÁVEL, DN 32MM, INSTALADO EM PRUMADA DE ÁGUA - FORNECIMENTO E INSTALAÇÃO. AF_12/2014</t>
  </si>
  <si>
    <t>TE, PVC, SOLDÁVEL, DN 25MM, INSTALADO EM RAMAL DE DISTRIBUIÇÃO DE ÁGUA - FORNECIMENTO E INSTALAÇÃO. AF_12/2014</t>
  </si>
  <si>
    <t>JOELHO 90 GRAUS COM BUCHA DE LATÃO, PVC, SOLDÁVEL, DN 25MM, X 1/2 INSTALADO EM RAMAL OU SUB-RAMAL DE ÁGUA - FORNECIMENTO E INSTALAÇÃO. AF_12/2014</t>
  </si>
  <si>
    <t>TORNEIRA DE BÓIA REAL, ROSCÁVEL, 3/4", FORNECIDA E INSTALADA EM RESERVAÇÃO DE ÁGUA. AF_06/2016</t>
  </si>
  <si>
    <t>REGISTRO DE GAVETA BRUTO, LATÃO, ROSCÁVEL, 1, INSTALADO EM RESERVAÇÃO DE ÁGUA DE EDIFICAÇÃO QUE POSSUA RESERVATÓRIO DE FIBRA/FIBROCIMENTO FORNECIMENTO E INSTALAÇÃO. AF_06/2016</t>
  </si>
  <si>
    <t>FURO EM CAIXA D'ÁGUA COM ESPESSURA DE 2 ATÉ 5 MM E DIÂMETRO DE 25 MM. AF_06/2021</t>
  </si>
  <si>
    <t>FORNECIMENTO E INSTALAÇÃO DE CAIXA D'ÁGUA EM FIBRA DE VIDRO, 2000 LITROS, INCLUINDO FURO COM ESPESSURA DE 2 ATÉ 5MM.</t>
  </si>
  <si>
    <t>CAIXA D'AGUA FIBRA DE VIDRO PARA 2000 LITROS, COM TAMPA</t>
  </si>
  <si>
    <t>AUXILIAR DE ENCANADOR OU BOMBEIRO HIDRÁULICO COM ENCARGOS COMPLEMENTARES</t>
  </si>
  <si>
    <t>Águas Pluviais</t>
  </si>
  <si>
    <t>MEMÓRIA DE CÁLCULO 17</t>
  </si>
  <si>
    <t>MEMÓRIA DE CÁLCULO 18</t>
  </si>
  <si>
    <t>Rampa 04 e Patamar 02</t>
  </si>
  <si>
    <t>de acordo com planta baixa</t>
  </si>
  <si>
    <t xml:space="preserve">Estacionamento 01 </t>
  </si>
  <si>
    <t>Estacionamento 02</t>
  </si>
  <si>
    <t>Patamar 01 e Rampa 01</t>
  </si>
  <si>
    <t>17.2</t>
  </si>
  <si>
    <t>CONCRETO CICLÓPICO FCK = 15MPA, 30% PEDRA DE MÃO EM VOLUME REAL, INCLUSIVE LANÇAMENTO. AF_05/2021</t>
  </si>
  <si>
    <t>PINTURA DE PISO COM TINTA ACRÍLICA, APLICAÇÃO MANUAL, 2 DEMÃOS, INCLUSO FUNDO PREPARADOR. AF_05/2021</t>
  </si>
  <si>
    <t>FORNECIMENTO E INSTALAÇÃO DE BANCO COM FUNDAÇÃO EM CONCRETO CICLÓPICO E ESTRUTURA EM CONCRETO ARMADO, COM DIMENSÕES DE 2,00X0,50M, INCLUINDO PINTURA ACRILICA.</t>
  </si>
  <si>
    <t>COMPOSIÇÃO 32</t>
  </si>
  <si>
    <t>Circulação de Veículos</t>
  </si>
  <si>
    <t>IMPERMEABILIZAÇÃO DE SUPERFÍCIE COM MANTA ASFÁLTICA, UMA CAMADA, INCLUSIVE APLICAÇÃO DE PRIMER ASFÁLTICO, E=3MM. AF_06/2018</t>
  </si>
  <si>
    <t>17.3</t>
  </si>
  <si>
    <t>WC Fem. 01</t>
  </si>
  <si>
    <t>WC Masc. 02</t>
  </si>
  <si>
    <t>WC Fem. 02</t>
  </si>
  <si>
    <t>BHO 01</t>
  </si>
  <si>
    <t>Copa 02</t>
  </si>
  <si>
    <t>Circulação 07</t>
  </si>
  <si>
    <t>Altura (m)</t>
  </si>
  <si>
    <t>Volume Total</t>
  </si>
  <si>
    <t>Comp. Total de Verga e Contraverga</t>
  </si>
  <si>
    <t>EXTINTOR DE INCÊNDIO PORTÁTIL COM CARGA DE PQS DE 6 KG, CLASSE BC - FORNECIMENTO E INSTALAÇÃO. AF_10/2020_P</t>
  </si>
  <si>
    <t>COMPOSIÇÃO 33</t>
  </si>
  <si>
    <t>SERVIÇO DE SINALIZAÇÃO DE SOLO PARA EQUIPAMENTOS DE COMBATE A INCENDIO, E = 5 CM.</t>
  </si>
  <si>
    <t>TINTA ACRILICA PREMIUM PARA PISO</t>
  </si>
  <si>
    <t>L</t>
  </si>
  <si>
    <t>FITA CREPE ROLO DE 25 MM X 50 M</t>
  </si>
  <si>
    <t>PINTOR COM ENCARGOS COMPLEMENTARES</t>
  </si>
  <si>
    <t>COMPOSIÇÃO 34</t>
  </si>
  <si>
    <t>Cobertura 3</t>
  </si>
  <si>
    <t>Cobertura 4</t>
  </si>
  <si>
    <t>Comp. Total (m)</t>
  </si>
  <si>
    <t>6.8</t>
  </si>
  <si>
    <t>Rampa 1</t>
  </si>
  <si>
    <t>Rampa 2</t>
  </si>
  <si>
    <t>Rampa 3</t>
  </si>
  <si>
    <t>Rampa 4</t>
  </si>
  <si>
    <t>Rampa 5</t>
  </si>
  <si>
    <t>Patamar 1</t>
  </si>
  <si>
    <t>Patamar 2</t>
  </si>
  <si>
    <t>Piso Grama 1</t>
  </si>
  <si>
    <t>Piso Grama 2</t>
  </si>
  <si>
    <t>Mureta (fachada rua 12)</t>
  </si>
  <si>
    <t>Mureta (fachada Rua Olavo Bilac)</t>
  </si>
  <si>
    <t>Total de Alvenaria s/ Desconto (m²)</t>
  </si>
  <si>
    <t>PORTAO DE ABRIR EM GRADIL DE METALON REDONDO DE 3/4"  VERTICAL, COM REQUADRO, ACABAMENTO NATURAL - COMPLETO</t>
  </si>
  <si>
    <t>ARGAMASSA TRAÇO 1:4 (EM VOLUME DE CIMENTO E AREIA MÉDIA ÚMIDA), PREPARO MANUAL. AF_08/2019</t>
  </si>
  <si>
    <t>DOBRADICA EM LATAO, 3 " X 2 1/2 ", E= 1,9 A 2 MM, COM ANEL, CROMADO, TAMPA BOLA, COM PARAFUSOS</t>
  </si>
  <si>
    <t xml:space="preserve">FERROLHO COM FECHO CHATO E PORTA CADEADO , EM ACO GALVANIZADO / ZINCADO, DE SOBREPOR, COM COMPRIMENTO DE 3" A 4", CHAPA COM ESPESSURA MINIMA DE 0,90 MM E LARGURA MINIMA DE 3,20 CM (FECHO SIMPLES / LEVE) (INCLUI PARAFUSOS)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</si>
  <si>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CADEADO SIMPLES, CORPO EM LATAO MACICO, COM LARGURA DE 25 MM E ALTURA DE APROX 25 MM, HASTE CEMENTADA (NAO LONGA), EM ACO TEMPERADO COM DIAMETRO DE APROX 5,0 MM, INCLUINDO 2 CHAVES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</si>
  <si>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LIXAMENTO MANUAL EM SUPERFÍCIES METÁLICAS EM OBRA. AF_01/2020</t>
  </si>
  <si>
    <t>PINTURA COM TINTA ACRÍLICA DE ACABAMENTO APLICADA A ROLO OU PINCEL SOBRE SUPERFÍCIES METÁLICAS (EXCETO PERFIL) EXECUTADO EM OBRA (02 DEMÃOS). AF_01/2020</t>
  </si>
  <si>
    <t>TUBO ACO GALVANIZADO COM COSTURA, CLASSE MEDIA, DN 3", E = *4,05* MM, PESO *8,47* KG/M (NBR 5580)</t>
  </si>
  <si>
    <t>TELA DE ARAME GALV QUADRANGULAR / LOSANGULAR, FIO 2,77 MM (12 BWG), MALHA 5 X 5 CM, H = 2 M</t>
  </si>
  <si>
    <t xml:space="preserve">M     </t>
  </si>
  <si>
    <t>COTAÇÃO</t>
  </si>
  <si>
    <t>SEDOP</t>
  </si>
  <si>
    <t>PERFIL U SIMPLES 125 X 50 - CH 11 - 3,00MM - 6m 31,05600</t>
  </si>
  <si>
    <t>AJUDANTE DE ARMADOR COM ENCARGOS COMPLEMENTARES</t>
  </si>
  <si>
    <t xml:space="preserve">PERFIL DE BORRACHA EPDM MACICO *12 X 15* MM PARA ESQUADRIAS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</si>
  <si>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SOLDA DE TOPO EM CHAPA/PERFIL/TUBO DE AÇO CHANFRADO, ESPESSURA=1/4''. AF_06/2018</t>
  </si>
  <si>
    <t xml:space="preserve">CABO DE ACO GALVANIZADO, DIAMETRO 12,7 MM (1/2"), COM ALMA DE ACO CABO INDEPENDENTE 6 X 25 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</si>
  <si>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Cobertura 1 - Platibanda</t>
  </si>
  <si>
    <t>Cobertura 2 - Platibanda</t>
  </si>
  <si>
    <t>Cobertura 3 e 4 - Platibanda</t>
  </si>
  <si>
    <t>Cobertura 5 - Platibanda</t>
  </si>
  <si>
    <t>Alvenaria  - comprimentos para fechamento de calha</t>
  </si>
  <si>
    <t>Comprimentos - Cobertura 2</t>
  </si>
  <si>
    <t>Comprimentos - Cobertura 3</t>
  </si>
  <si>
    <t>Comprimentos - Cobertura 4</t>
  </si>
  <si>
    <t>Total de alvenaria para calha</t>
  </si>
  <si>
    <t xml:space="preserve">Chapisco Total </t>
  </si>
  <si>
    <t>Alvenaria p/ cobertura</t>
  </si>
  <si>
    <t>Comprimentos - Cobertura 1</t>
  </si>
  <si>
    <t>Comprimentos - Cobertura 5</t>
  </si>
  <si>
    <t>Camada de proteção mecanica ao longo de toda a área impermeabilizada</t>
  </si>
  <si>
    <t>JANELA FIXA DE ALUMÍNIO PARA VIDRO, COM VIDRO, BATENTE E FERRAGENS. EXCLUSIVE ACABAMENTO, ALIZAR E CONTRAMARCO. FORNECIMENTO E INSTALAÇÃO. AF_12/2019</t>
  </si>
  <si>
    <t>FORNECIMENTO E INSTALAÇÃO DE ESQUADRIA VIDRO FIXO 6MM, COM ESTRUTURA EM ALUMINIO E BANCADA EM GRANITO.</t>
  </si>
  <si>
    <t>ESCAVAÇÃO MANUAL PARA BLOCO DE COROAMENTO OU SAPATA, COM PREVISÃO DE FÔRMA. AF_06/2017</t>
  </si>
  <si>
    <t>Platibanda</t>
  </si>
  <si>
    <t>PERFIL ENRIJECIDO 2U 150 X 60 X 20 - CH 11 - 3,00MM - 6m 41,21900</t>
  </si>
  <si>
    <t>Qtd Perfis 2U</t>
  </si>
  <si>
    <t>Qtd Perfis u - 125</t>
  </si>
  <si>
    <t>2 U</t>
  </si>
  <si>
    <t>U - 125</t>
  </si>
  <si>
    <t>Tirante(kg/m)</t>
  </si>
  <si>
    <t>SOLDADOR COM ENCARGOS COMPLEMENTARES</t>
  </si>
  <si>
    <t>AJUDANTE DE ESTRUTURA METÁLICA COM ENCARGOS COMPLEMENTARES</t>
  </si>
  <si>
    <t xml:space="preserve">CHAPA DE ACO GALVANIZADA BITOLA GSG 16, E = 1,55 MM (12,40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</si>
  <si>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EXECUÇÃO DE FURO, COM CAIXA EM CHAPA DE AÇO GALVANIZADA, INCLUINDO PINTURA METÁLICA E IMPERMEABILIZAÇÃO COM MANTA ASFÁLTICA.</t>
  </si>
  <si>
    <t>PROTEÇÃO MECÂNICA DE SUPERFÍCIE HORIZONTAL COM ARGAMASSA DE CIMENTO E AREIA, TRAÇO 1:3, E=2CM. AF_06/2018</t>
  </si>
  <si>
    <t>Porcelanato (natural) - Padrão Médio</t>
  </si>
  <si>
    <t>Limpeza geral e entrega da obra</t>
  </si>
  <si>
    <t>Locação da obra a trena</t>
  </si>
  <si>
    <t>COMPOSIÇÃO 36</t>
  </si>
  <si>
    <t>COMPOSIÇÃO 37</t>
  </si>
  <si>
    <t>COMPOSIÇÃO 38</t>
  </si>
  <si>
    <t>COMPOSIÇÃO 39</t>
  </si>
  <si>
    <t>COMPOSIÇÃO 40</t>
  </si>
  <si>
    <t>PEITORIL LINEAR EM GRANITO OU MÁRMORE, L = 15CM, COMPRIMENTO DE ATÉ 2M, ASSENTADO COM ARGAMASSA 1:6 COM ADITIVO. AF_11/2020</t>
  </si>
  <si>
    <t>Guarda Corpo 1</t>
  </si>
  <si>
    <t>Guarda Corpo 2</t>
  </si>
  <si>
    <t>Guarda Corpo 3</t>
  </si>
  <si>
    <t>GUARDA-CORPO DE AÇO GALVANIZADO DE 1,10M DE ALTURA, MONTANTES TUBULARES DE 1.1/2 ESPAÇADOS DE 1,20M, TRAVESSA SUPERIOR DE 2, GRADIL FORMADO POR BARRAS CHATAS EM FERRO DE 32X4,8MM, FIXADO COM CHUMBADOR MECÂNICO. AF_04/2019_P</t>
  </si>
  <si>
    <t>Canaleta em concreto simples (0,40x0,40m)</t>
  </si>
  <si>
    <t>GOVERNO DO ESTADO DO PARÁ
PREFEITURA MUNICIPAL DE PLACAS
CNPJ 01.611.858/0001-55</t>
  </si>
  <si>
    <t>WC Masc. 01</t>
  </si>
  <si>
    <t>Ducha higienica cromada</t>
  </si>
  <si>
    <t>Passeio Público 02 (Rua Olavo Bilac)</t>
  </si>
  <si>
    <t>Passeio Público 01 (Rua 12)</t>
  </si>
  <si>
    <t>Calçada de Proteção 2 (espaço de convivência)</t>
  </si>
  <si>
    <t>Calçada de proteção 1 (Dep. de Merenda)</t>
  </si>
  <si>
    <t>Patamar 3</t>
  </si>
  <si>
    <t>Instalações Elétricas</t>
  </si>
  <si>
    <t>AUXILIAR DE SERRALHEIRO COM ENCARGOS COMPLEMENTARES</t>
  </si>
  <si>
    <t>GRAUTE FGK=20 MPA; TRAÇO 1:1,6:1,9 (CIMENTO/ AREIA GROSSA/ BRITA 0/ ADITIVO) - PREPARO MECÂNICO COM BETONEIRA 400 L. AF_02/2015</t>
  </si>
  <si>
    <t>PINTURA VERNIZ (INCOLOR) ALQUÍDICO EM MADEIRA, USO INTERNO E EXTERNO, 2 DEMÃOS. AF_01/2021</t>
  </si>
  <si>
    <t>COMPOSIÇÃO 41</t>
  </si>
  <si>
    <t>EXECUÇÃO DE PAVIMENTO EM PISO INTERTRAVADO, COM BLOCO PISOGRAMA DE 35 X 25 CM, ESPESSURA 6 CM. AF_12/2015</t>
  </si>
  <si>
    <t>PLANTIO DE ARBUSTO OU  CERCA VIVA. AF_05/2018</t>
  </si>
  <si>
    <t>Instalações de Ar Condicionado</t>
  </si>
  <si>
    <t>Tubulações e Conexões</t>
  </si>
  <si>
    <t>SPDA e Aterramento</t>
  </si>
  <si>
    <t>Subtotal item 13</t>
  </si>
  <si>
    <t>INTERRUPTOR PARALELO (1 MÓDULO), 10A/250V, INCLUINDO SUPORTE E PLACA - FORNECIMENTO E INSTALAÇÃO. AF_12/2015</t>
  </si>
  <si>
    <t>CAIXA OCTOGONAL 4" X 4", PVC, INSTALADA EM LAJE - FORNECIMENTO E INSTALAÇÃO. AF_12/2015</t>
  </si>
  <si>
    <t>CAIXA RETANGULAR 4" X 2" MÉDIA (1,30 M DO PISO), PVC, INSTALADA EM PAREDE - FORNECIMENTO E INSTALAÇÃO. AF_12/2015</t>
  </si>
  <si>
    <t>Unidut múltiplo Ø 3/4"</t>
  </si>
  <si>
    <t>Eletrocalha de metal curve "U"perf. 50x100  - 3m</t>
  </si>
  <si>
    <t>Suporte para eletrocalhas</t>
  </si>
  <si>
    <t>Eletroduto PVC Rígido de 2"</t>
  </si>
  <si>
    <t>Curva  90° p/ elet. PVC 2" (IE)</t>
  </si>
  <si>
    <t>Curva  90º p/ elet. PVC 1" (IE)</t>
  </si>
  <si>
    <t>LUVA PARA ELETRODUTO, PVC, ROSCÁVEL, DN 60 MM (2") - FORNECIMENTO E INSTALAÇÃO. AF_12/2015</t>
  </si>
  <si>
    <t>LUVA PARA ELETRODUTO, PVC, SOLDÁVEL, DN 32 MM (1), APARENTE, INSTALADA EM PAREDE - FORNECIMENTO E INSTALAÇÃO. AF_11/2016_P</t>
  </si>
  <si>
    <t>CABO DE COBRE FLEXÍVEL ISOLADO, 2,5 MM², ANTI-CHAMA 450/750 V, PARA CIRCUITOS TERMINAIS - FORNECIMENTO E INSTALAÇÃO. AF_12/2015</t>
  </si>
  <si>
    <t>QUADRO DE DISTRIBUIÇÃO DE ENERGIA EM CHAPA DE AÇO GALVANIZADO, DE EMBUTIR, COM BARRAMENTO TRIFÁSICO, PARA 30 DISJUNTORES DIN 150A - FORNECIMENTO E INSTALAÇÃO. AF_10/2020</t>
  </si>
  <si>
    <t>DISJUNTOR MONOPOLAR TIPO DIN, CORRENTE NOMINAL DE 16A - FORNECIMENTO E INSTALAÇÃO. AF_10/2020</t>
  </si>
  <si>
    <t>DISJUNTOR BIPOLAR TIPO DIN, CORRENTE NOMINAL DE 20A - FORNECIMENTO E INSTALAÇÃO. AF_10/2020</t>
  </si>
  <si>
    <t>CABO DE COBRE FLEXÍVEL ISOLADO, 4 MM², ANTI-CHAMA 450/750 V, PARA CIRCUITOS TERMINAIS - FORNECIMENTO E INSTALAÇÃO. AF_12/2015</t>
  </si>
  <si>
    <t>Unidut múltiplo Ø 1"</t>
  </si>
  <si>
    <t>DISJUNTOR BIPOLAR TIPO DIN, CORRENTE NOMINAL DE 25A - FORNECIMENTO E INSTALAÇÃO. AF_10/2020</t>
  </si>
  <si>
    <t>DISJUNTOR TERMOMAGNÉTICO TRIPOLAR , CORRENTE NOMINAL DE 125A - FORNECIMENTO E INSTALAÇÃO. AF_10/2020</t>
  </si>
  <si>
    <t>CABO DE COBRE FLEXÍVEL ISOLADO, 10 MM², ANTI-CHAMA 0,6/1,0 KV, PARA DISTRIBUIÇÃO - FORNECIMENTO E INSTALAÇÃO. AF_12/2015</t>
  </si>
  <si>
    <t>CABO DE COBRE FLEXÍVEL ISOLADO, 16 MM², ANTI-CHAMA 0,6/1,0 KV, PARA DISTRIBUIÇÃO - FORNECIMENTO E INSTALAÇÃO. AF_12/2015</t>
  </si>
  <si>
    <t>Mastro simples de fo go p/ para-raio (c/ acessorios)</t>
  </si>
  <si>
    <t>CAIXA DE INSPEÇÃO PARA ATERRAMENTO, CIRCULAR, EM POLIETILENO, DIÂMETRO INTERNO = 0,3 M. AF_12/2020</t>
  </si>
  <si>
    <t>Subtotal item 12</t>
  </si>
  <si>
    <t>Conector macho RJ45 p/ cabo UTP cat. 6.</t>
  </si>
  <si>
    <t>CAIXA RETANGULAR 4" X 4" BAIXA (0,30 M DO PISO), PVC, INSTALADA EM PAREDE - FORNECIMENTO E INSTALAÇÃO. AF_12/2015</t>
  </si>
  <si>
    <t>CAIXA RETANGULAR 4" X 2" MÉDIA (1,30 M DO PISO), METÁLICA, INSTALADA EM PAREDE - FORNECIMENTO E INSTALAÇÃO. AF_12/2015</t>
  </si>
  <si>
    <t>CAIXA RETANGULAR 4" X 4" MÉDIA (1,30 M DO PISO), METÁLICA, INSTALADA EM PAREDE - FORNECIMENTO E INSTALAÇÃO. AF_12/2015</t>
  </si>
  <si>
    <t>Caixa em alvenaria de  50x50x50cm c/ tpo. concreto</t>
  </si>
  <si>
    <t>Caixa de passagem em aluminio 300x300x130mm</t>
  </si>
  <si>
    <t>Caixa em alvenaria de  60x60x60cm c/ tpo. concreto</t>
  </si>
  <si>
    <t>CONDULETE DE ALUMÍNIO, TIPO C, PARA ELETRODUTO DE AÇO GALVANIZADO DN 25 MM (1''), APARENTE - FORNECIMENTO E INSTALAÇÃO. AF_11/2016_P</t>
  </si>
  <si>
    <t>CONDULETE DE ALUMÍNIO, TIPO C, PARA ELETRODUTO DE AÇO GALVANIZADO DN 20 MM (3/4''), APARENTE - FORNECIMENTO E INSTALAÇÃO. AF_11/2016_P</t>
  </si>
  <si>
    <t>Eletroduto de F°G° de 3"</t>
  </si>
  <si>
    <t>Eletroduto PVC Rígido de 1"</t>
  </si>
  <si>
    <t>Eletroduto PVC Rígido de 3/4"</t>
  </si>
  <si>
    <t>CURVA 90 GRAUS PARA ELETRODUTO, PVC, ROSCÁVEL, DN 85 MM (3") - FORNECIMENTO E INSTALAÇÃO. AF_12/2015</t>
  </si>
  <si>
    <t>Curva  90° p/ elet. F°G° 3" (IE)</t>
  </si>
  <si>
    <t>CURVA 90 GRAUS PARA ELETRODUTO, PVC, ROSCÁVEL, DN 25 MM (3/4"), PARA CIRCUITOS TERMINAIS, INSTALADA EM FORRO - FORNECIMENTO E INSTALAÇÃO. AF_12/2015</t>
  </si>
  <si>
    <t>Luva p/ elet. FºGº de 3" (IE)</t>
  </si>
  <si>
    <t>LUVA PARA ELETRODUTO, PVC, ROSCÁVEL, DN 85 MM (3") - FORNECIMENTO E INSTALAÇÃO. AF_12/2015</t>
  </si>
  <si>
    <t>LUVA PARA ELETRODUTO, PVC, SOLDÁVEL, DN 25 MM (3/4), APARENTE, INSTALADA EM TETO - FORNECIMENTO E INSTALAÇÃO. AF_11/2016_P</t>
  </si>
  <si>
    <t>Cabo UTP par trançado 04P 24 AWG Cat 6e</t>
  </si>
  <si>
    <t>CABO TELEFÔNICO CCI-50 1 PAR, INSTALADO EM ENTRADA DE EDIFICAÇÃO - FORNECIMENTO E INSTALAÇÃO. AF_11/2019</t>
  </si>
  <si>
    <t>Patch panel 24 portas cat 6e</t>
  </si>
  <si>
    <t>Patch cable M8V cat 6e 1,5m</t>
  </si>
  <si>
    <t>TUBO EM COBRE FLEXÍVEL, DN 1/4, COM ISOLAMENTO, INSTALADO EM RAMAL DE ALIMENTAÇÃO DE AR CONDICIONADO COM CONDENSADORA INDIVIDUAL   FORNECIMENTO E INSTALAÇÃO. AF_12/2015</t>
  </si>
  <si>
    <t>TUBO EM COBRE FLEXÍVEL, DN 5/8", COM ISOLAMENTO, INSTALADO EM RAMAL DE ALIMENTAÇÃO DE AR CONDICIONADO COM CONDENSADORA INDIVIDUAL  FORNECIMENTO E INSTALAÇÃO. AF_12/2015</t>
  </si>
  <si>
    <t>TUBO EM COBRE FLEXÍVEL, DN 1/2", COM ISOLAMENTO, INSTALADO EM RAMAL DE ALIMENTAÇÃO DE AR CONDICIONADO COM CONDENSADORA INDIVIDUAL  FORNECIMENTO E INSTALAÇÃO. AF_12/2015</t>
  </si>
  <si>
    <t>TUBO EM COBRE FLEXÍVEL, DN 3/8", COM ISOLAMENTO, INSTALADO EM RAMAL DE ALIMENTAÇÃO DE AR CONDICIONADO COM CONDENSADORA INDIVIDUAL  FORNECIMENTO E INSTALAÇÃO. AF_12/2015</t>
  </si>
  <si>
    <t>14.1.1</t>
  </si>
  <si>
    <t>14.1.2</t>
  </si>
  <si>
    <t>14.1.3</t>
  </si>
  <si>
    <t>14.1.4</t>
  </si>
  <si>
    <t>14.1.5</t>
  </si>
  <si>
    <t>14.1.6</t>
  </si>
  <si>
    <t>14.2.1</t>
  </si>
  <si>
    <t>14.2.2</t>
  </si>
  <si>
    <t>14.2.3</t>
  </si>
  <si>
    <t>14.2.4</t>
  </si>
  <si>
    <t>14.2.5</t>
  </si>
  <si>
    <t>14.2.6</t>
  </si>
  <si>
    <t>14.2.7</t>
  </si>
  <si>
    <t>14.2.8</t>
  </si>
  <si>
    <t>14.2.9</t>
  </si>
  <si>
    <t>14.3.1</t>
  </si>
  <si>
    <t>14.3.2</t>
  </si>
  <si>
    <t>CORRIMÃO SIMPLES, DIÂMETRO EXTERNO = 1 1/2", EM ALUMÍNIO. AF_04/2019_P</t>
  </si>
  <si>
    <t>Comprimentos - Escada - Espera 01</t>
  </si>
  <si>
    <t>Local - Pavimento térreo</t>
  </si>
  <si>
    <t>19.1</t>
  </si>
  <si>
    <t>18.2</t>
  </si>
  <si>
    <t>18.3</t>
  </si>
  <si>
    <t>18.4</t>
  </si>
  <si>
    <t>18.5</t>
  </si>
  <si>
    <t>MEMÓRIA DE CÁLCULO 19</t>
  </si>
  <si>
    <t>Parede com revestimento em porcelanato</t>
  </si>
  <si>
    <t>15.5</t>
  </si>
  <si>
    <t>19.2</t>
  </si>
  <si>
    <t>19.3</t>
  </si>
  <si>
    <t>19.4</t>
  </si>
  <si>
    <t>20.1</t>
  </si>
  <si>
    <t>MEMÓRIA DE CÁLCULO 20</t>
  </si>
  <si>
    <t>Fachadas</t>
  </si>
  <si>
    <t>Piso de borracha tátil (16 un)</t>
  </si>
  <si>
    <t>PisoTátil direcional na cor amarelo 25x25 premoldado (16 unidades)</t>
  </si>
  <si>
    <t>OBS: área total retirada da planta de acessibilidade</t>
  </si>
  <si>
    <t>PISO EM GRANITO APLICADO EM CALÇADAS OU PISOS EXTERNOS. AF_05/2020</t>
  </si>
  <si>
    <t>Patamar 01</t>
  </si>
  <si>
    <t>CONSTRUÇÃO DO COMPLEXO ADMINISTRATIVO DO MUNICIPIO DE PLACAS</t>
  </si>
  <si>
    <t>E7</t>
  </si>
  <si>
    <t>E10</t>
  </si>
  <si>
    <t>E13</t>
  </si>
  <si>
    <t>E9</t>
  </si>
  <si>
    <t>E12</t>
  </si>
  <si>
    <t>Passeio Público 1</t>
  </si>
  <si>
    <t>Passeio Público 2</t>
  </si>
  <si>
    <t>1319</t>
  </si>
  <si>
    <t xml:space="preserve">CHAPA DE ACO FINA A QUENTE BITOLA MSG 3/16 ", E = 4,75 MM (38,00 KG/M2)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</si>
  <si>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kg/m²</t>
  </si>
  <si>
    <t xml:space="preserve">TABUA APARELHADA *2,5 X 30* CM, EM MACARANDUBA, ANGELIM OU EQUIVALENTE DA REGIAO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</si>
  <si>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PERFIL CANTONEIRA L, LISA, EM ACO, 25 X 30 MM, E = 0,5 MM, PARA ESTRUTURA DRYWALL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</si>
  <si>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Rodape em Porcelanato</t>
  </si>
  <si>
    <t>Rodapé em poliestireno de 9cm</t>
  </si>
  <si>
    <t>Total de Rodapé</t>
  </si>
  <si>
    <t>Descontos</t>
  </si>
  <si>
    <t>Perímetro (m)</t>
  </si>
  <si>
    <t xml:space="preserve">TUBO DE ESPUMA DE POLIETILENO EXPANDIDO FLEXIVEL PARA ISOLAMENTO TERMICO DE TUBULACAO DE AR CONDICIONADO, AGUA QUENTE,  DN 7/8",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</si>
  <si>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ESPUMA DE POLIETILENO EXPANDIDO FLEXIVEL PARA ISOLAMENTO TERMICO DE TUBULACAO DE AR CONDICIONADO, AGUA QUENTE,  DN 3/4",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</si>
  <si>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ESPUMA DE POLIETILENO EXPANDIDO FLEXIVEL PARA ISOLAMENTO TERMICO DE TUBULACAO DE AR CONDICIONADO, AGUA QUENTE,  DN 1 5/8",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</si>
  <si>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ESPUMA DE POLIETILENO EXPANDIDO FLEXIVEL PARA ISOLAMENTO TERMICO DE TUBULACAO DE AR CONDICIONADO, AGUA QUENTE,  DN 1/2",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</si>
  <si>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ESPUMA DE POLIETILENO EXPANDIDO FLEXIVEL PARA ISOLAMENTO TERMICO DE TUBULACAO DE AR CONDICIONADO, AGUA QUENTE,  DN 1/4",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</si>
  <si>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DE ESPUMA DE POLIETILENO EXPANDIDO FLEXIVEL PARA ISOLAMENTO TERMICO DE TUBULACAO DE AR CONDICIONADO, AGUA QUENTE,  DN 3/8", E= 10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</si>
  <si>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Cobertura 2/3</t>
  </si>
  <si>
    <t>Cobertura 3/4/5</t>
  </si>
  <si>
    <t>VT3</t>
  </si>
  <si>
    <t>VT4</t>
  </si>
  <si>
    <t>VT5</t>
  </si>
  <si>
    <t>VT6</t>
  </si>
  <si>
    <t>VT7</t>
  </si>
  <si>
    <t>VT8</t>
  </si>
  <si>
    <t>VT9</t>
  </si>
  <si>
    <t>área (m²)</t>
  </si>
  <si>
    <t>COMPOSIÇÃO 42</t>
  </si>
  <si>
    <t>COMPOSIÇÃO 43</t>
  </si>
  <si>
    <t>COMPOSIÇÃO 44</t>
  </si>
  <si>
    <t>COMPOSIÇÃO 45</t>
  </si>
  <si>
    <t>DIVISORIA SANITÁRIA, TIPO CABINE, EM GRANITO CINZA POLIDO, ESP = 3CM, ASSENTADO COM ARGAMASSA COLANTE AC III-E, EXCLUSIVE FERRAGENS. AF_01/2021</t>
  </si>
  <si>
    <t>Circ. Externa 07</t>
  </si>
  <si>
    <t>PINTURA COM TINTA ALQUÍDICA DE FUNDO (TIPO ZARCÃO) APLICADA A ROLO OU PINCEL SOBRE SUPERFÍCIES METÁLICAS (EXCETO PERFIL) EXECUTADO EM OBRA (POR DEMÃO). AF_01/2020</t>
  </si>
  <si>
    <t xml:space="preserve">PERFIL "U" SIMPLES DE ACO GALVANIZADO DOBRADO 75 X *40* MM, E = 2,65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</si>
  <si>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CHUMBADOR DE ACO, DIAMETRO 5/8", COMPRIMENTO 6", COM PORCA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</si>
  <si>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comp. Total</t>
  </si>
  <si>
    <t>área de chapa</t>
  </si>
  <si>
    <t>perimetro</t>
  </si>
  <si>
    <t>FORNECIMENTO E INSTALAÇÃO DE TUBO DE ESPUMA DE POLIETILENO EXPANDIDO FLEXIVEL PARA ISOLAMENTO TÉRMICO DE TUBULAÇÃO DE AR DN 7/8" E=10MM</t>
  </si>
  <si>
    <t>FORNECIMENTO E INSTALAÇÃO DE TUBO DE ESPUMA DE POLIETILENO EXPANDIDO FLEXIVEL PARA ISOLAMENTO TÉRMICO DE TUBULAÇÃO DE AR DN 3/4" E=10MM</t>
  </si>
  <si>
    <t>FORNECIMENTO E INSTALAÇÃO DE TUBO DE ESPUMA DE POLIETILENO EXPANDIDO FLEXIVEL PARA ISOLAMENTO TÉRMICO DE TUBULAÇÃO DE AR DN 5/8" E=10MM</t>
  </si>
  <si>
    <t>FORNECIMENTO E INSTALAÇÃO DE TUBO DE ESPUMA DE POLIETILENO EXPANDIDO FLEXIVEL PARA ISOLAMENTO TÉRMICO DE TUBULAÇÃO DE AR DN 1/2" E=10MM</t>
  </si>
  <si>
    <t>FORNECIMENTO E INSTALAÇÃO DE TUBO DE ESPUMA DE POLIETILENO EXPANDIDO FLEXIVEL PARA ISOLAMENTO TÉRMICO DE TUBULAÇÃO DE AR DN 3/8" E=10MM</t>
  </si>
  <si>
    <t>FORNECIMENTO E INSTALAÇÃO DE TUBO DE ESPUMA DE POLIETILENO EXPANDIDO FLEXIVEL PARA ISOLAMENTO TÉRMICO DE TUBULAÇÃO DE AR DN 1/4" E=10MM</t>
  </si>
  <si>
    <t>COMPOSIÇÃO 49</t>
  </si>
  <si>
    <t>Cobogó (área de serviço)</t>
  </si>
  <si>
    <t>PA1</t>
  </si>
  <si>
    <t>Ponto de solda exotérmica</t>
  </si>
  <si>
    <t>HASTE DE ATERRAMENTO 5/8  PARA SPDA - FORNECIMENTO E INSTALAÇÃO. AF_12/2017</t>
  </si>
  <si>
    <t>14.3.3</t>
  </si>
  <si>
    <t>14.3.4</t>
  </si>
  <si>
    <t>14.3.5</t>
  </si>
  <si>
    <t>14.3.6</t>
  </si>
  <si>
    <t>ELETRODO REVESTIDO AWS - E6013, DIAMETRO IGUAL A 2,50 MM</t>
  </si>
  <si>
    <t>SUPORTE PARA CALHA DE 150 MM EM FERRO GALVANIZADO</t>
  </si>
  <si>
    <t>SERRALHEIRO COM ENCARGOS COMPLEMENTARES</t>
  </si>
  <si>
    <t xml:space="preserve">TUBO ACO GALVANIZADO COM COSTURA, CLASSE LEVE, DN 50 MM ( 2"),  E = 3,00 MM,  *4,40* KG/M (NBR 5580)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</si>
  <si>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Joelho/Cotovelo de redução 90° PVC JS - 32mm x 25mm (LH)</t>
  </si>
  <si>
    <t>Registro de pressao c/ canopla - 1"</t>
  </si>
  <si>
    <t>CURVA 90 GRAUS, PVC, SOLDÁVEL, DN 32MM, INSTALADO EM PRUMADA DE ÁGUA - FORNECIMENTO E INSTALAÇÃO. AF_12/2014</t>
  </si>
  <si>
    <t>ADAPTADOR COM FLANGES LIVRES, PVC, SOLDÁVEL LONGO, DN 32 MM X 1 , INSTALADO EM RESERVAÇÃO DE ÁGUA DE EDIFICAÇÃO QUE POSSUA RESERVATÓRIO DE FIBRA/FIBROCIMENTO   FORNECIMENTO E INSTALAÇÃO. AF_06/2016</t>
  </si>
  <si>
    <t>LUVA SOLDÁVEL E COM ROSCA, PVC, SOLDÁVEL, DN 32MM X 1, INSTALADO EM PRUMADA DE ÁGUA - FORNECIMENTO E INSTALAÇÃO. AF_12/2014</t>
  </si>
  <si>
    <t>TE, PVC, SOLDÁVEL, DN 32MM, INSTALADO EM PRUMADA DE ÁGUA - FORNECIMENTO E INSTALAÇÃO. AF_12/2014</t>
  </si>
  <si>
    <t>Total de Lastro nas Sapatas</t>
  </si>
  <si>
    <t>Total de formas</t>
  </si>
  <si>
    <t>Vol. Total</t>
  </si>
  <si>
    <t>Total de impermeabilização</t>
  </si>
  <si>
    <t>4.2.1</t>
  </si>
  <si>
    <t>4.2.6</t>
  </si>
  <si>
    <t>Infra-estrutura e Superestrutura</t>
  </si>
  <si>
    <t>4.3</t>
  </si>
  <si>
    <t>4.3.1</t>
  </si>
  <si>
    <t>4.3.2</t>
  </si>
  <si>
    <t>4.3.3</t>
  </si>
  <si>
    <t>4.3.4</t>
  </si>
  <si>
    <t>4.3.5</t>
  </si>
  <si>
    <t>Somatória total de forma</t>
  </si>
  <si>
    <t>Peso Total</t>
  </si>
  <si>
    <t>Somatória dos Volumes</t>
  </si>
  <si>
    <t>FORNECIMENTO DE ESPELHO DE 80 X 50 CM PARA BANHEIRO</t>
  </si>
  <si>
    <t>OBS: Quantitativo de aço retirado da tabela do projeto estrutural, na prancha EST 1</t>
  </si>
  <si>
    <t>CONCRETO FCK = 25MPA, TRAÇO 1:2,3:2,7 (EM MASSA SECA DE CIMENTO/ AREIA MÉDIA/ BRITA 1) - PREPARO MECÂNICO COM BETONEIRA 600 L. AF_05/2021</t>
  </si>
  <si>
    <t>JOELHO 90 GRAUS, PVC, SOLDÁVEL, DN 32MM, INSTALADO EM RAMAL DE DISTRIBUIÇÃO DE ÁGUA - FORNECIMENTO E INSTALAÇÃO. AF_12/2014</t>
  </si>
  <si>
    <t>Placa de obra em lona com plotagem de gráfica</t>
  </si>
  <si>
    <t>COMPOSIÇÃO 3</t>
  </si>
  <si>
    <t>COMPOSIÇÃO 4</t>
  </si>
  <si>
    <t>5.1</t>
  </si>
  <si>
    <t>5.2</t>
  </si>
  <si>
    <t>5.3</t>
  </si>
  <si>
    <t>5.4</t>
  </si>
  <si>
    <t>5.5</t>
  </si>
  <si>
    <t>5.6</t>
  </si>
  <si>
    <t>5.7</t>
  </si>
  <si>
    <t>5.8</t>
  </si>
  <si>
    <t>6.9</t>
  </si>
  <si>
    <t>6.10</t>
  </si>
  <si>
    <t>6.11</t>
  </si>
  <si>
    <t>6.12</t>
  </si>
  <si>
    <t>7.1.1</t>
  </si>
  <si>
    <t>7.2.1</t>
  </si>
  <si>
    <t>8.3</t>
  </si>
  <si>
    <t>8.4</t>
  </si>
  <si>
    <t>9.1.1</t>
  </si>
  <si>
    <t>9.1.3</t>
  </si>
  <si>
    <t>9.1.4</t>
  </si>
  <si>
    <t>9.1.5</t>
  </si>
  <si>
    <t>9.1.6</t>
  </si>
  <si>
    <t>9.2.1</t>
  </si>
  <si>
    <t>9.2.2</t>
  </si>
  <si>
    <t>9.2.4</t>
  </si>
  <si>
    <t>9.2.5</t>
  </si>
  <si>
    <t>9.2.6</t>
  </si>
  <si>
    <t>9.2.7</t>
  </si>
  <si>
    <t>9.2.10</t>
  </si>
  <si>
    <t>9.2.11</t>
  </si>
  <si>
    <t>9.2.12</t>
  </si>
  <si>
    <t>9.2.13</t>
  </si>
  <si>
    <t>10.3</t>
  </si>
  <si>
    <t>11.1.1</t>
  </si>
  <si>
    <t>11.1.2</t>
  </si>
  <si>
    <t>11.4</t>
  </si>
  <si>
    <t>11.4.1</t>
  </si>
  <si>
    <t>11.4.2</t>
  </si>
  <si>
    <t>11.4.3</t>
  </si>
  <si>
    <t>11.4.4</t>
  </si>
  <si>
    <t>14.1.7</t>
  </si>
  <si>
    <t>14.1.8</t>
  </si>
  <si>
    <t>14.1.9</t>
  </si>
  <si>
    <t>14.4</t>
  </si>
  <si>
    <t>14.4.1</t>
  </si>
  <si>
    <t>14.4.2</t>
  </si>
  <si>
    <t>14.4.3</t>
  </si>
  <si>
    <t>14.4.4</t>
  </si>
  <si>
    <t>14.4.5</t>
  </si>
  <si>
    <t>14.4.6</t>
  </si>
  <si>
    <t>14.4.7</t>
  </si>
  <si>
    <t>14.4.8</t>
  </si>
  <si>
    <t>14.4.9</t>
  </si>
  <si>
    <t>14.4.10</t>
  </si>
  <si>
    <t>14.4.11</t>
  </si>
  <si>
    <t>14.5</t>
  </si>
  <si>
    <t>14.5.1</t>
  </si>
  <si>
    <t>14.5.2</t>
  </si>
  <si>
    <t>14.5.3</t>
  </si>
  <si>
    <t>14.5.4</t>
  </si>
  <si>
    <t>14.5.5</t>
  </si>
  <si>
    <t>14.5.6</t>
  </si>
  <si>
    <t>15.6</t>
  </si>
  <si>
    <t>16.7</t>
  </si>
  <si>
    <t>16.9</t>
  </si>
  <si>
    <t>16.10</t>
  </si>
  <si>
    <t>16.12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</si>
  <si>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</si>
  <si>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</si>
  <si>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</si>
  <si>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</si>
  <si>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</si>
  <si>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</si>
  <si>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</si>
  <si>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</si>
  <si>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</si>
  <si>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</si>
  <si>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</si>
  <si>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</si>
  <si>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Subtotal item 11</t>
  </si>
  <si>
    <t>MEMÓRIA DE CÁLCULO 5</t>
  </si>
  <si>
    <t>MEMORIA DE CALCULO 11</t>
  </si>
  <si>
    <t>MEMÓRIA DE CÁLCULO 12</t>
  </si>
  <si>
    <t>Disjuntor 3P - 63 a 100A - PADRÃO DIN</t>
  </si>
  <si>
    <t>Tampa cega 4"x4" plástica</t>
  </si>
  <si>
    <t>CONECTOR MACHO RJ - 45, CATEGORIA 6</t>
  </si>
  <si>
    <t>FORNECIMENTO DE CONECTOR MACHO RJ - 45, CATEGORIA 6</t>
  </si>
  <si>
    <t>COMPOSIÇÃO 52</t>
  </si>
  <si>
    <t>peso (kg)</t>
  </si>
  <si>
    <t>WC PCD Fem.</t>
  </si>
  <si>
    <t>WC PCD Masc.</t>
  </si>
  <si>
    <t>Pintura das divisórias</t>
  </si>
  <si>
    <t>Total de Selador</t>
  </si>
  <si>
    <t>Total de Massa</t>
  </si>
  <si>
    <t>Total de Pintura</t>
  </si>
  <si>
    <t>Mictorio individual em louça c/ acessorios</t>
  </si>
  <si>
    <t>Mastro em fo.go. sobre base de concreto-3 um</t>
  </si>
  <si>
    <t>P10</t>
  </si>
  <si>
    <t>Portão de acesso à circulação de veículos - PF1</t>
  </si>
  <si>
    <t>TUBO PVC, SERIE NORMAL, ESGOTO PREDIAL, DN 75 MM, FORNECIDO E INSTALADO EM PRUMADA DE ESGOTO SANITÁRIO OU VENTILAÇÃO. AF_12/2014</t>
  </si>
  <si>
    <t>14.4.12</t>
  </si>
  <si>
    <t>Joelho/Cotovelo 45° PVC JS -  75mm - LS</t>
  </si>
  <si>
    <t>Joelho/Cotovelo 45° PVC JS - 100mm - LS</t>
  </si>
  <si>
    <t>CURVA 90 GRAUS, PVC, SOLDÁVEL, DN 50MM, INSTALADO EM PRUMADA DE ÁGUA - FORNECIMENTO E INSTALAÇÃO. AF_12/2014</t>
  </si>
  <si>
    <t>CURVA 90 GRAUS, PVC, SOLDÁVEL, DN 75MM, INSTALADO EM PRUMADA DE ÁGUA - FORNECIMENTO E INSTALAÇÃO. AF_12/2014</t>
  </si>
  <si>
    <t>14.4.13</t>
  </si>
  <si>
    <t>14.4.14</t>
  </si>
  <si>
    <t>14.4.15</t>
  </si>
  <si>
    <t>14.4.16</t>
  </si>
  <si>
    <t>14.4.17</t>
  </si>
  <si>
    <t>14.4.18</t>
  </si>
  <si>
    <t>JUNÇÃO SIMPLES, PVC, SERIE NORMAL, ESGOTO PREDIAL, DN 50 X 50 MM, JUNTA ELÁSTICA, FORNECIDO E INSTALADO EM PRUMADA DE ESGOTO SANITÁRIO OU VENTILAÇÃO. AF_12/2014</t>
  </si>
  <si>
    <t>JUNÇÃO SIMPLES, PVC, SERIE NORMAL, ESGOTO PREDIAL, DN 75 X 75 MM, JUNTA ELÁSTICA, FORNECIDO E INSTALADO EM PRUMADA DE ESGOTO SANITÁRIO OU VENTILAÇÃO. AF_12/2014</t>
  </si>
  <si>
    <t>COMPOSIÇÃO 53</t>
  </si>
  <si>
    <t>PASTA LUBRIFICANTE PARA TUBOS E CONEXOES COM JUNTA ELASTICA, EMBALAGEM DE *400* GR (USO EM PVC, ACO, POLIETILENO E OUTROS)</t>
  </si>
  <si>
    <t>14.4.19</t>
  </si>
  <si>
    <t>14.4.20</t>
  </si>
  <si>
    <t>CAIXA SIFONADA, PVC, DN 150 X 185 X 75 MM, FORNECIDA E INSTALADA EM RAMAIS DE ENCAMINHAMENTO DE ÁGUA PLUVIAL. AF_12/2014</t>
  </si>
  <si>
    <t>14.5.7</t>
  </si>
  <si>
    <t>Caixa de passagem</t>
  </si>
  <si>
    <t>Caixa de inspeção</t>
  </si>
  <si>
    <t>19.1.1</t>
  </si>
  <si>
    <t>19.1.2</t>
  </si>
  <si>
    <t>19.1.3</t>
  </si>
  <si>
    <t xml:space="preserve">MONTAGEM E DESMONTAGEM DE FÔRMA DE PILARES RETANGULARES E ESTRUTURAS SIMILARES, PÉ-DIREITO SIMPLES, EM MADEIRA SERRADA, 2 UTILIZAÇÕES. AF_09/2020 </t>
  </si>
  <si>
    <t>19.1.4</t>
  </si>
  <si>
    <t xml:space="preserve">CONCRETO FCK = 20MPA, TRAÇO 1:2,7:3 (EM MASSA SECA DE CIMENTO/ AREIA MÉDIA/ BRITA 1) - PREPARO MECÂNICO COM BETONEIRA 600 L. AF_05/2021 </t>
  </si>
  <si>
    <t>19.1.5</t>
  </si>
  <si>
    <t xml:space="preserve">ARMAÇÃO DE PILAR OU VIGA DE UMA ESTRUTURA CONVENCIONAL DE CONCRETO ARMADO EM UMA EDIFICAÇÃO TÉRREA OU SOBRADO UTILIZANDO AÇO CA-50 DE 8,0 MM - MONTAGEM. AF_12/2015 </t>
  </si>
  <si>
    <t>19.1.6</t>
  </si>
  <si>
    <t xml:space="preserve">ARMAÇÃO DE PILAR OU VIGA DE UMA ESTRUTURA CONVENCIONAL DE CONCRETO ARMADO EM UMA EDIFICAÇÃO TÉRREA OU SOBRADO UTILIZANDO AÇO CA-50 DE 6,3 MM - MONTAGEM. AF_12/2015 </t>
  </si>
  <si>
    <t>19.1.7</t>
  </si>
  <si>
    <t>19.2.1</t>
  </si>
  <si>
    <t xml:space="preserve">MONTAGEM E DESMONTAGEM DE FÔRMA DE LAJE MACIÇA, PÉ-DIREITO SIMPLES, EM CHAPA DE MADEIRA COMPENSADA RESINADA, 4 UTILIZAÇÕES. AF_09/2020 </t>
  </si>
  <si>
    <t>19.2.2</t>
  </si>
  <si>
    <t>19.2.3</t>
  </si>
  <si>
    <t>19.2.4</t>
  </si>
  <si>
    <t>19.3.1</t>
  </si>
  <si>
    <t xml:space="preserve">FABRICAÇÃO, MONTAGEM E DESMONTAGEM DE FÔRMA PARA BLOCO DE COROAMENTO, EM MADEIRA SERRADA, E=25 MM, 2 UTILIZAÇÕES. AF_06/2017 </t>
  </si>
  <si>
    <t>19.3.2</t>
  </si>
  <si>
    <t xml:space="preserve">CONCRETO CICLÓPICO FCK = 15MPA, 30% PEDRA DE MÃO EM VOLUME REAL, INCLUSIVE LANÇAMENTO. AF_05/2021 </t>
  </si>
  <si>
    <t>19.4.1</t>
  </si>
  <si>
    <t>19.4.2</t>
  </si>
  <si>
    <t>19.4.3</t>
  </si>
  <si>
    <t xml:space="preserve">PORTA CADEADO ZINCADO OXIDADO PRETO COM CADEADO DE AÇO INOX, LARGURA DE *50* MM. AF_12/2019 </t>
  </si>
  <si>
    <t>TAMPA EM ESTRUTURA DE AÇO (CANTONEIRA 2"X2"X1/4" E CHAPA GSG 1,95MM) - PARA CASA DE BOMBA</t>
  </si>
  <si>
    <t xml:space="preserve">CANTONEIRA ACO ABAS IGUAIS (QUALQUER BITOLA), ESPESSURA ENTRE 1/8" E 1/4" </t>
  </si>
  <si>
    <t xml:space="preserve">CHAPA DE ACO FINA A QUENTE BITOLA MSG 13, E = 2,25 MM (18,00 KG/M2) </t>
  </si>
  <si>
    <t xml:space="preserve">CONCRETO FCK = 15MPA, TRAÇO 1:3,4:3,5 (EM MASSA SECA DE CIMENTO/ AREIA MÉDIA/ BRITA 1) - PREPARO MECÂNICO COM BETONEIRA 400 L. AF_05/2021 </t>
  </si>
  <si>
    <t xml:space="preserve">SERRALHEIRO COM ENCARGOS COMPLEMENTARES </t>
  </si>
  <si>
    <t xml:space="preserve">AUXILIAR DE SERRALHEIRO COM ENCARGOS COMPLEMENTARES </t>
  </si>
  <si>
    <t xml:space="preserve">SOLDADOR COM ENCARGOS COMPLEMENTARES </t>
  </si>
  <si>
    <t>TAMPA EM ESTRUTURA DE AÇO (CANTONEIRA 2"X2"X1/4" E CHAPA GSG 1,95MM) COM APOIO EM CONCRETO - PARA CISTERNA</t>
  </si>
  <si>
    <t>COMPOSIÇÃO 54</t>
  </si>
  <si>
    <t>COMPOSIÇÃO 55</t>
  </si>
  <si>
    <t>Casa de Bomba e Cisterna</t>
  </si>
  <si>
    <t>Infraestrutura</t>
  </si>
  <si>
    <t>Laje da Tampa</t>
  </si>
  <si>
    <t>Base da Bomba</t>
  </si>
  <si>
    <t>Escotilha da entrada da Casa de Bomba e Cisterna</t>
  </si>
  <si>
    <t>Volume de escavação, com 10cm de folga em cada lado</t>
  </si>
  <si>
    <t>CISTERNA 1</t>
  </si>
  <si>
    <t>CISTERNA 2</t>
  </si>
  <si>
    <t xml:space="preserve"> </t>
  </si>
  <si>
    <t>Total =</t>
  </si>
  <si>
    <t xml:space="preserve">Área do fundo </t>
  </si>
  <si>
    <t>Área de forma das paredes</t>
  </si>
  <si>
    <t xml:space="preserve">perímetro interno </t>
  </si>
  <si>
    <t>área de forma</t>
  </si>
  <si>
    <t>Faces internas</t>
  </si>
  <si>
    <t>perímetro externo</t>
  </si>
  <si>
    <t>altura</t>
  </si>
  <si>
    <t>Faces externas</t>
  </si>
  <si>
    <t>Total=</t>
  </si>
  <si>
    <t>Perímetro externo</t>
  </si>
  <si>
    <t>espessura</t>
  </si>
  <si>
    <t xml:space="preserve">CISTERNA 1 - Paredes </t>
  </si>
  <si>
    <t xml:space="preserve">CISTERNA 2 - Paredes </t>
  </si>
  <si>
    <t>área do fundo</t>
  </si>
  <si>
    <t>CISTERNA 1 - Laje de Fundo</t>
  </si>
  <si>
    <t>CISTERNA 2 - Laje de Fundo</t>
  </si>
  <si>
    <t>Aço</t>
  </si>
  <si>
    <t>Diam. (mm)</t>
  </si>
  <si>
    <t>Laje do Fundo</t>
  </si>
  <si>
    <t>CA-50</t>
  </si>
  <si>
    <t>ø 8,0</t>
  </si>
  <si>
    <t>Kg</t>
  </si>
  <si>
    <t>ø 6,3</t>
  </si>
  <si>
    <t>Mesmo item "Concreto Fck = 20Mpa"</t>
  </si>
  <si>
    <t>comprimento</t>
  </si>
  <si>
    <t>Desconto (Escotilha)</t>
  </si>
  <si>
    <t>CISTERNA 1 - Tampa - Forma do fundo</t>
  </si>
  <si>
    <t>CISTERNA 2 - Tampa - Forma do fundo</t>
  </si>
  <si>
    <t>perímetro</t>
  </si>
  <si>
    <t>CISTERNA 1 - Tampa - laterais</t>
  </si>
  <si>
    <t>CISTERNA 2 - Tampa - laterais</t>
  </si>
  <si>
    <t xml:space="preserve">Volume de concreto da laje </t>
  </si>
  <si>
    <t>cisterna 1</t>
  </si>
  <si>
    <t>cisterna 2</t>
  </si>
  <si>
    <t>Lajes da tampa</t>
  </si>
  <si>
    <t>Volume da base da bomba</t>
  </si>
  <si>
    <t>quant</t>
  </si>
  <si>
    <t>6.13</t>
  </si>
  <si>
    <t xml:space="preserve">UND </t>
  </si>
  <si>
    <t xml:space="preserve">ENCANADOR OU BOMBEIRO HIDRÁULICO COM ENCARGOS COMPLEMENTARES </t>
  </si>
  <si>
    <t xml:space="preserve">AUXILIAR DE ENCANADOR OU BOMBEIRO HIDRÁULICO COM ENCARGOS COMPLEMENTARES </t>
  </si>
  <si>
    <t>FORNECIMENTO E INSTALAÇÃO DE SIRENE INDUSTRIAL SONORA MOTORIZADA</t>
  </si>
  <si>
    <t>FITA ISOLANTE ADESIVA ANTICHAMA, USO ATE 750 V, EM ROLO DE 19 MM X 5 M</t>
  </si>
  <si>
    <t xml:space="preserve">SIRENE INDUSTRIAL SONORA MOTORIZADA MS-290 110DB 220VAC </t>
  </si>
  <si>
    <t xml:space="preserve">AUXILIAR DE ELETRICISTA COM ENCARGOS COMPLEMENTARES </t>
  </si>
  <si>
    <t xml:space="preserve">ELETRICISTA COM ENCARGOS COMPLEMENTARES  </t>
  </si>
  <si>
    <t>Fornecimento e instação de Acionador de Sirene</t>
  </si>
  <si>
    <t xml:space="preserve">ACIONADOR DE SIRENES </t>
  </si>
  <si>
    <t>FORNECIMENTO E INSTALAÇÃO DE BOTOEIRA PARA ACIONAMENTO DE BOMBA DE INCENDIO QUEBRA VIDRO</t>
  </si>
  <si>
    <t xml:space="preserve">BOTOEIRA ALARME ACIONAMENTO MANUAL COM QUEBRA DE VIDRO </t>
  </si>
  <si>
    <t>FORNECIMENTO E INSTALAÇÃO DE PRESSOSTATO ALTA/BAIXA COM REARME MANUAL REF. KP15</t>
  </si>
  <si>
    <t xml:space="preserve">PRESSOSTATO ALTA/BAIXA COM REARME MANUAL REF. KP15 </t>
  </si>
  <si>
    <t>Fornecimento e instalação de União assento conico galvanizado 2.1/2"</t>
  </si>
  <si>
    <t xml:space="preserve">UNIAO COM ASSENTO CONICO DE FERRO LONGO (MACHO-FEMEA), DIAMETRO 2 1/2" </t>
  </si>
  <si>
    <t xml:space="preserve">FITA VEDA ROSCA EM ROLOS DE 18 MM X 50 M (L X C) </t>
  </si>
  <si>
    <t xml:space="preserve">FUNDO ANTICORROSIVO PARA METAIS FERROSOS (ZARCAO) </t>
  </si>
  <si>
    <t>Fornecimento e instalação de União assento conico galvanizado 3"</t>
  </si>
  <si>
    <t xml:space="preserve">UNIAO COM ASSENTO CONICO DE FERRO LONGO (MACHO-FEMEA), DIAMETRO 3' </t>
  </si>
  <si>
    <t>FORNECIMENTO E INSTALAÇÃO DE TÊ DE REDUCAO DE FERRO GALVANIZADO, COM ROSCA BSP, DE 3" X 2 1/2"</t>
  </si>
  <si>
    <t xml:space="preserve">TE DE REDUCAO DE FERRO GALVANIZADO, COM ROSCA BSP, DE 3" X 2 1/2" </t>
  </si>
  <si>
    <t>COMPOSIÇÃO 56</t>
  </si>
  <si>
    <t>COMPOSIÇÃO 57</t>
  </si>
  <si>
    <t>COMPOSIÇÃO 58</t>
  </si>
  <si>
    <t>COMPOSIÇÃO 59</t>
  </si>
  <si>
    <t>COMPOSIÇÃO 60</t>
  </si>
  <si>
    <t>COMPOSIÇÃO 61</t>
  </si>
  <si>
    <t>COMPOSIÇÃO 62</t>
  </si>
  <si>
    <t>COMPOSIÇÃO 63</t>
  </si>
  <si>
    <t xml:space="preserve">REGISTRO DE GAVETA BRUTO, LATÃO, ROSCÁVEL, 3" - FORNECIMENTO E INSTALAÇÃO. AF_08/2021 </t>
  </si>
  <si>
    <t xml:space="preserve">TUBO DE AÇO GALVANIZADO COM COSTURA, CLASSE MÉDIA, DN 65 (2 1/2"), CONEXÃO ROSQUEADA, INSTALADO EM REDE DE ALIMENTAÇÃO PARA HIDRANTE - FORNECIMENTO E INSTALAÇÃO. AF_10/2020 </t>
  </si>
  <si>
    <t xml:space="preserve">TUBO DE AÇO GALVANIZADO COM COSTURA, CLASSE MÉDIA, CONEXÃO RANHURADA, DN 80 (3"), INSTALADO EM PRUMADAS - FORNECIMENTO E INSTALAÇÃO. AF_10/2020 </t>
  </si>
  <si>
    <t xml:space="preserve">JOELHO 90 GRAUS, EM FERRO GALVANIZADO, CONEXÃO ROSQUEADA, DN 80 (3"), INSTALADO EM REDE DE ALIMENTAÇÃO PARA HIDRANTE - FORNECIMENTO E INSTALAÇÃO. AF_10/2020 </t>
  </si>
  <si>
    <t xml:space="preserve">Hidrante de passeio - completo </t>
  </si>
  <si>
    <t>MANÔMETRO 0 A 200 PSI (0 A 14 KGF/CM2), D = 50MM - FORNECIMENTO E INSTALAÇÃO. AF_10/2020</t>
  </si>
  <si>
    <t>Bomba centrifuga 7.5 CV (sem tubulação)</t>
  </si>
  <si>
    <t xml:space="preserve">VÁLVULA DE RETENÇÃO HORIZONTAL, DE BRONZE, ROSCÁVEL, 2 1/2" - FORNECIMENTO E INSTALAÇÃO. AF_08/2021 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</si>
  <si>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</si>
  <si>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</si>
  <si>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</si>
  <si>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</si>
  <si>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</si>
  <si>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</si>
  <si>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</si>
  <si>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</si>
  <si>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</si>
  <si>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</si>
  <si>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</si>
  <si>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</si>
  <si>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</si>
  <si>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</si>
  <si>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</si>
  <si>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</si>
  <si>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</si>
  <si>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Muro/Gradil</t>
  </si>
  <si>
    <t>Muro em alvenaria,rebocado e pintado 2 faces(h=2.0m)</t>
  </si>
  <si>
    <t>comprimento total=</t>
  </si>
  <si>
    <t>ELETRODO REVESTIDO AWS - E7018, DIAMETRO IGUAL A 4,00 MM</t>
  </si>
  <si>
    <t>ARAME GALVANIZADO 12 BWG, D = 2,76 MM (0,048 KG/M) OU 14 BWG, D = 2,11 MM (0,026 KG/M)</t>
  </si>
  <si>
    <t>FORNECIMENTO E INSTALAÇÃO DE GRADIL COM MONTANTES EM TUBO DE AÇO GALVANIZADO 3", TELA DE ARAME GALVANIZADO MALHA 5X5CM, H= 2M, INCLUINDO BLOCOS DE FUNDAÇÃO, BALDRAME E PINTURA ANTICORROSIVA APLICADA NA ESTRUTURA METÁLICA.</t>
  </si>
  <si>
    <t>Trechos:</t>
  </si>
  <si>
    <t>quant.</t>
  </si>
  <si>
    <t>comp.=</t>
  </si>
  <si>
    <t>PORTAO DE ABRIR / GIRO, EM GRADIL DE METALON REDONDO DE 3/4"  VERTICAL, COM REQUADRO, ACABAMENTO NATURAL - COMPLETO</t>
  </si>
  <si>
    <t>COMPOSIÇÃO 64</t>
  </si>
  <si>
    <t>FORNECIMENTO E INSTALAÇÃO DE PORTAO DE ABRIR / GIRO, EM GRADIL DE METALON REDONDO DE 3/4"  VERTICAL, COM REQUADRO, ACABAMENTO NATURAL - COMPLETO, INCLUSO PINTURA ANTICORROSIVA APLICADA NA ESTRUTURA METÁLICA.</t>
  </si>
  <si>
    <t>Identificação</t>
  </si>
  <si>
    <t>Largura (m)</t>
  </si>
  <si>
    <t>PF1</t>
  </si>
  <si>
    <t>PF2</t>
  </si>
  <si>
    <t>área=</t>
  </si>
  <si>
    <t>Subtotal item 1</t>
  </si>
  <si>
    <t>Subtotal item 2</t>
  </si>
  <si>
    <t>Subtotal item 3</t>
  </si>
  <si>
    <t>Subtotal item 4</t>
  </si>
  <si>
    <t>Subtotal item 5</t>
  </si>
  <si>
    <t>Subtotal item 6</t>
  </si>
  <si>
    <t>Subtotal item 7</t>
  </si>
  <si>
    <t>Subtotal item 8</t>
  </si>
  <si>
    <t>Subtotal item 9</t>
  </si>
  <si>
    <t>Subtotal item 10</t>
  </si>
  <si>
    <t>Subtotal item 14</t>
  </si>
  <si>
    <t>Subtotal item 15</t>
  </si>
  <si>
    <t>Subtotal item 16</t>
  </si>
  <si>
    <t>Subtotal item 17</t>
  </si>
  <si>
    <t>Subtotal item 18</t>
  </si>
  <si>
    <t>Subtotal item 19</t>
  </si>
  <si>
    <t>Subtotal item 20</t>
  </si>
  <si>
    <t>Subtotal item 21</t>
  </si>
  <si>
    <t>MONTAGEM E DESMONTAGEM DE FÔRMA DE PILARES RETANGULARES E ESTRUTURAS SIMILARES, PÉ-DIREITO SIMPLES, EM CHAPA DE MADEIRA COMPENSADA PLASTIFICADA, 18 UTILIZAÇÕES. AF_09/2020</t>
  </si>
  <si>
    <t>considerou-se um tubo de 2,60 espaçados a cada 2,50m</t>
  </si>
  <si>
    <t>20.2</t>
  </si>
  <si>
    <t>20.3</t>
  </si>
  <si>
    <t>MONTADOR DE ESTRUTURA METÁLICA COM ENCARGOS COMPLEMENTARES</t>
  </si>
  <si>
    <t>AJUDANTE DE MONTADOR COM ENCARGOS COMPLEMENTARES</t>
  </si>
  <si>
    <t>20.4</t>
  </si>
  <si>
    <t>Total do item</t>
  </si>
  <si>
    <t>COIFA ACOPLADA AO TETO, 120 X 60 CM, OU EQUIVALENTE. FORNCECIMENTO E INSTALAÇÃO</t>
  </si>
  <si>
    <t>Unidade</t>
  </si>
  <si>
    <t>Espessura</t>
  </si>
  <si>
    <t>ORSE</t>
  </si>
  <si>
    <t>COMPOSIÇÃO 68</t>
  </si>
  <si>
    <t>COMPOSIÇÃO 69</t>
  </si>
  <si>
    <t>Áreas de triângulo para aterro:</t>
  </si>
  <si>
    <t>Base</t>
  </si>
  <si>
    <t>Volume</t>
  </si>
  <si>
    <t>3.4</t>
  </si>
  <si>
    <t>ATERRO MECANIZADO DE VALA COM RETROESCAVADEIRA (CAPACIDADE DA CAÇAMBA DA RETRO: 0,26 M³ / POTÊNCIA: 88 HP), LARGURA DE 0,8 A 1,5 M, PROFUNDIDADE DE 1,5 A 3,0 M, COM SOLO ARGILO-ARENOSO. AF_05/2016</t>
  </si>
  <si>
    <t>Volume Total=</t>
  </si>
  <si>
    <t>Banheiro 01</t>
  </si>
  <si>
    <t>Banheiro 02</t>
  </si>
  <si>
    <t>18.6</t>
  </si>
  <si>
    <t>Mapa Tátil em acrílico 70 x 50cm</t>
  </si>
  <si>
    <t>FORNECIMENTO E INSTALAÇÃO DE PORTÃO DE ABRIR 1,00x2,00M EM GRADIL, INCLUINDO DOBRADIÇA, CADEADO, LIXAMENTO E PINTURA ANTICORROSIVA.</t>
  </si>
  <si>
    <t>FORNECIMENTO E INSTALAÇÃO DE PORTÃO DE ABRIR 4,00x2,00M EM GRADIL, INCLUINDO DOBRADIÇA, CADEADO, LIXAMENTO E PINTURA ANTICORROSIVA.</t>
  </si>
  <si>
    <t>Portão de acesso à circulação de pedestres - PF2</t>
  </si>
  <si>
    <t>12759</t>
  </si>
  <si>
    <t>CHAPA ACO INOX AISI 304 NUMERO 9 (E = 4 MM), ACABAMENTO NUMERO 1 (LAMINADO A QUENTE, FOSCO)</t>
  </si>
  <si>
    <t>P11</t>
  </si>
  <si>
    <t>P7</t>
  </si>
  <si>
    <t>Total de Descontos de Portas (m²)</t>
  </si>
  <si>
    <t>Total de Descontos das Janelas (m²)</t>
  </si>
  <si>
    <t>EXECUÇÃO DE PASSEIO (CALÇADA) OU PISO DE CONCRETO COM CONCRETO MOLDADO IN LOCO, USINADO, ACABAMENTO CONVENCIONAL, NÃO ARMADO. AF_07/2016</t>
  </si>
  <si>
    <t>E14</t>
  </si>
  <si>
    <t>20.5</t>
  </si>
  <si>
    <t>SARRAFO APARELHADO *2 X 10* CM, EM MACARANDUBA, ANGELIM OU EQUIVALENTE DA REGIAO</t>
  </si>
  <si>
    <t>PARAFUSO DE ACO TIPO CHUMBADOR PARABOLT, DIAMETRO 3/8", COMPRIMENTO 75 MM</t>
  </si>
  <si>
    <t>PREGO DE ACO POLIDO COM CABECA 16 X 24 (2 1/4 X 12)</t>
  </si>
  <si>
    <t>GRAUTE FGK=15 MPA; TRAÇO 1:2,2:2,5:0,3 (EM MASSA SECA DE CIMENTO/ AREIA GROSSA/ BRITA 0/ ADITIVO) - PREPARO MECÂNICO COM BETONEIRA 400 L. AF_09/2021</t>
  </si>
  <si>
    <t>102234</t>
  </si>
  <si>
    <t>PINTURA IMUNIZANTE PARA MADEIRA, 2 DEMÃOS. AF_01/2021</t>
  </si>
  <si>
    <t>PINTURA VERNIZ (INCOLOR) POLIURETÂNICO (RESINA ALQUÍDICA MODIFICADA) EM MADEIRA, 2 DEMÃOS. AF_01/2021</t>
  </si>
  <si>
    <t>und/kg</t>
  </si>
  <si>
    <t>PAINEL RIPADO COM SARRAFOS DE DIMENSÕES 3X7 CM PINTADOS COM IMUNIZANTE E ENVERNIZADOS, FIXADOS NAS PAREDES COM PARABOLT DIÂMETRO 3/8"</t>
  </si>
  <si>
    <t>Painel 1</t>
  </si>
  <si>
    <t>Painel 2</t>
  </si>
  <si>
    <t>A=</t>
  </si>
  <si>
    <t>largura (m)</t>
  </si>
  <si>
    <t>altura (m)</t>
  </si>
  <si>
    <t>20.6</t>
  </si>
  <si>
    <t>Painel em ACM - Estruturado (fachadas)</t>
  </si>
  <si>
    <t>Fachada - Olavo Bilac</t>
  </si>
  <si>
    <t>Fachada - Rua Doze</t>
  </si>
  <si>
    <t>Painel para fachada em Aço Corten com estrutura em metalon para fixação. Dimensões: 1,0x6,0m</t>
  </si>
  <si>
    <t>11.2</t>
  </si>
  <si>
    <t>11.2.1</t>
  </si>
  <si>
    <t>11.2.2</t>
  </si>
  <si>
    <t>11.2.3</t>
  </si>
  <si>
    <t>11.2.4</t>
  </si>
  <si>
    <t>11.2.5</t>
  </si>
  <si>
    <t>11.2.6</t>
  </si>
  <si>
    <t>11.2.7</t>
  </si>
  <si>
    <t>11.2.8</t>
  </si>
  <si>
    <t>11.2.9</t>
  </si>
  <si>
    <t>11.2.10</t>
  </si>
  <si>
    <t>11.2.11</t>
  </si>
  <si>
    <t>11.2.12</t>
  </si>
  <si>
    <t>11.2.13</t>
  </si>
  <si>
    <t>11.2.14</t>
  </si>
  <si>
    <t>11.2.15</t>
  </si>
  <si>
    <t>11.2.16</t>
  </si>
  <si>
    <t>11.2.17</t>
  </si>
  <si>
    <t>11.2.18</t>
  </si>
  <si>
    <t>11.2.19</t>
  </si>
  <si>
    <t>11.2.20</t>
  </si>
  <si>
    <t>11.2.21</t>
  </si>
  <si>
    <t>5.9</t>
  </si>
  <si>
    <t>5.9.1</t>
  </si>
  <si>
    <t>5.9.2</t>
  </si>
  <si>
    <t>5.9.3</t>
  </si>
  <si>
    <t>5.9.4</t>
  </si>
  <si>
    <t>5.9.5</t>
  </si>
  <si>
    <t>5.9.6</t>
  </si>
  <si>
    <t>TRAMA DE MADEIRA COMPOSTA POR TERÇAS PARA TELHADOS DE ATÉ 2 ÁGUAS PARA TELHA ONDULADA DE FIBROCIMENTO, METÁLICA, PLÁSTICA OU TERMOACÚSTICA, INCLUSO TRANSPORTE VERTICAL. AF_07/2019</t>
  </si>
  <si>
    <t>Pintura do Forro</t>
  </si>
  <si>
    <t>10.4</t>
  </si>
  <si>
    <t xml:space="preserve"> Contraverga (1x)</t>
  </si>
  <si>
    <t>KIT DE PORTA-PRONTA DE MADEIRA EM ACABAMENTO MELAMÍNICO BRANCO, FOLHA LEVE OU MÉDIA, E BATENTE METÁLICO, 70X210CM, FIXAÇÃO COM ARGAMASSA - FORNECIMENTO E INSTALAÇÃO. AF_12/2019</t>
  </si>
  <si>
    <t>KIT DE PORTA-PRONTA DE MADEIRA EM ACABAMENTO MELAMÍNICO BRANCO, FOLHA LEVE OU MÉDIA, E BATENTE METÁLICO, 80X210CM, FIXAÇÃO COM ARGAMASSA - FORNECIMENTO E INSTALAÇÃO. AF_12/2019</t>
  </si>
  <si>
    <t>KIT DE PORTA-PRONTA DE MADEIRA EM ACABAMENTO MELAMÍNICO BRANCO, FOLHA LEVE OU MÉDIA, E BATENTE METÁLICO, 90X210CM, FIXAÇÃO COM ARGAMASSA - FORNECIMENTO E INSTALAÇÃO. AF_12/2019</t>
  </si>
  <si>
    <t>KIT DE PORTA-PRONTA DE MADEIRA EM ACABAMENTO MELAMÍNICO BRANCO, FOLHA LEVE OU MÉDIA, 70X210CM, EXCLUSIVE FECHADURA, FIXAÇÃO COM PREENCHIMENTO PARCIAL DE ESPUMA EXPANSIVA - FORNECIMENTO E INSTALAÇÃO. AF_12/2019</t>
  </si>
  <si>
    <t>PORTA DE MADEIRA, EM ACABAMENTO MELAMÍNICO BRANCO, FOLHA LEVE OU MÉDIA, 2 FOLHAS DE 70X210CM, ESPESSURA DE 3,5CM, ITENS INCLUSOS: DOBRADIÇAS, MONTAGEM E INSTALAÇÃO DO BATENTE, FECHADURA COM EXECUÇÃO DO FURO - FORNECIMENTO E INSTALAÇÃO.</t>
  </si>
  <si>
    <t>100675</t>
  </si>
  <si>
    <t>KIT DE PORTA-PRONTA DE MADEIRA EM ACABAMENTO MELAMÍNICO BRANCO, FOLHA LEVE OU MÉDIA, 90X210, EXCLUSIVE FECHADURA, FIXAÇÃO COM PREENCHIMENTO TOTAL DE ESPUMA EXPANSIVA - FORNECIMENTO E INSTALAÇÃO. AF_12/2019</t>
  </si>
  <si>
    <t>KIT DE PORTA DE MADEIRA DE MADEIRA EM ACABAMENTO MELAMÍNICO BRANCO, FOLHA LEVE OU MÉDIA, 90X210, ITENS INCLUSOS: DOBRADIÇAS, BARRA DE APOIO EM AÇO INOX PARA PCD, CHAPA DE AÇO INOX E FECHADURA - FORNECIMENTO E INSTALAÇÃO.</t>
  </si>
  <si>
    <t>FECHADURA DE EMBUTIR PARA PORTAS INTERNAS, COMPLETA, ACABAMENTO PADRÃO POPULAR, COM EXECUÇÃO DE FURO - FORNECIMENTO E INSTALAÇÃO. AF_12/2019</t>
  </si>
  <si>
    <t>somatória dos itens</t>
  </si>
  <si>
    <t>obs.: devido às composições SINAPI nº 90795, 90797 e 90796, referentes aos itens 9.2.2, 9.2.4 e 9.2.5, respectivamente, não contemplarem as fechaduras das portas, fez-se necessária a adição deste serviço</t>
  </si>
  <si>
    <t>obs.2: no itens de composição própria, já foram adicionadas as fechaduras.</t>
  </si>
  <si>
    <t>Cobertura 08</t>
  </si>
  <si>
    <t>Descrição do ítem</t>
  </si>
  <si>
    <t>COTAÇÃO MERCADO</t>
  </si>
  <si>
    <t>COMPOSIÇÃO 74</t>
  </si>
  <si>
    <t>ARRUELA LISA, REDONDA, DE LATAO POLIDO, DIAMETRO NOMINAL 5/8", DIAMETRO EXTERNO = 34 MM, DIAMETRO DO FURO = 17 MM, ESPESSURA = *2,5* MM</t>
  </si>
  <si>
    <t>CHUMBADOR, DIAMETRO 1/4" COM PARAFUSO 1/4" X 40 MM</t>
  </si>
  <si>
    <t>PERFILADO PERFURADO DUPLO 38 X 76 MM, CHAPA 22</t>
  </si>
  <si>
    <t>VERGALHAO ZINCADO ROSCA TOTAL, 1/4 " (6,3 MM)</t>
  </si>
  <si>
    <t>PORCA ZINCADA, SEXTAVADA, DIAMETRO 1/4"</t>
  </si>
  <si>
    <t>FORNECIMENTO E INSTALAÇÃO DE ELETROCALHA COM CONEXÕES E SUPORTE DE FIXAÇÃO</t>
  </si>
  <si>
    <t>Tomada femea RJ-45 completa (Instalado em piso ou em parede)</t>
  </si>
  <si>
    <t>TOMADA DE REDE RJ45 - FORNECIMENTO E INSTALAÇÃO. AF_11/2019 (Instalado em piso ou em parede)</t>
  </si>
  <si>
    <t>Rack 19" 570mm 44U</t>
  </si>
  <si>
    <t>Eletrocalha de metal curve "U"perf. 50x50 - 3m</t>
  </si>
  <si>
    <t>Eletrocalha de metal curve "T" tipo "U" perf. 50 - 3m</t>
  </si>
  <si>
    <t>Eletrocalha de metal curve "L" desc tipo "U" perf. 50 - 3m</t>
  </si>
  <si>
    <t>REGISTRO DE GAVETA BRUTO, LATÃO, ROSCÁVEL, 3/4", COM ACABAMENTO E CANOPLA CROMADOS - FORNECIMENTO E INSTALAÇÃO. AF_08/2021</t>
  </si>
  <si>
    <t>FILTRO ANAERÓBIO RETANGULAR, EM ALVENARIA COM BLOCOS DE CONCRETO, DIMENSÕES INTERNAS: 1,4 X 3,0 X 1,67 M, VOLUME ÚTIL: 5040 L (PARA 32 CONTRIBUINTES). AF_12/2020</t>
  </si>
  <si>
    <t>PAR</t>
  </si>
  <si>
    <t>ALVENARIA DE VEDAÇÃO DE BLOCOS CERÂMICOS FURADOS NA HORIZONTAL DE 9X19X19 CM (ESPESSURA 9 CM) E ARGAMASSA DE ASSENTAMENTO COM PREPARO EM BETONEIRA. AF_12/2021</t>
  </si>
  <si>
    <t>ABRIGO PARA HIDRANTE, 75X45X17CM, COM REGISTRO GLOBO ANGULAR 45 GRAUS 2 1/2", ADAPTADOR STORZ 2 1/2", MANGUEIRA DE INCÊNDIO 15M 2 1/2" E ESGUICHO EM LATÃO 2 1/2" - FORNECIMENTO E INSTALAÇÃO. AF_10/2020</t>
  </si>
  <si>
    <t>LANÇAMENTO COM USO DE BALDES, ADENSAMENTO E ACABAMENTO DE CONCRETO EM ESTRUTURAS. AF_02/2022</t>
  </si>
  <si>
    <t>SINAPI ABRIL/2022 - DESONERADA</t>
  </si>
  <si>
    <t>SEDOP MAIO/2022 - DESONERADA</t>
  </si>
  <si>
    <t>13.1.3</t>
  </si>
  <si>
    <t>13.1.4</t>
  </si>
  <si>
    <t>13.1.5</t>
  </si>
  <si>
    <t>13.1.6</t>
  </si>
  <si>
    <t>13.1.7</t>
  </si>
  <si>
    <t>13.1.8</t>
  </si>
  <si>
    <t>13.1.9</t>
  </si>
  <si>
    <t>13.1.10</t>
  </si>
  <si>
    <t>13.1.11</t>
  </si>
  <si>
    <t>13.1.12</t>
  </si>
  <si>
    <t>11.1.3</t>
  </si>
  <si>
    <t>11.1.4</t>
  </si>
  <si>
    <t>11.1.5</t>
  </si>
  <si>
    <t>11.1.6</t>
  </si>
  <si>
    <t>11.1.7</t>
  </si>
  <si>
    <t>11.1.8</t>
  </si>
  <si>
    <t>11.1.9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</si>
  <si>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</si>
  <si>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</si>
  <si>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</si>
  <si>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</si>
  <si>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</si>
  <si>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</si>
  <si>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</si>
  <si>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</si>
  <si>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</si>
  <si>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</si>
  <si>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</si>
  <si>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</si>
  <si>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</si>
  <si>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</si>
  <si>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</si>
  <si>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</si>
  <si>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</si>
  <si>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</si>
  <si>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</si>
  <si>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</si>
  <si>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</si>
  <si>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</si>
  <si>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</si>
  <si>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</si>
  <si>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</si>
  <si>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</si>
  <si>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</si>
  <si>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</si>
  <si>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</si>
  <si>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</si>
  <si>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</si>
  <si>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</si>
  <si>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</si>
  <si>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</si>
  <si>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</si>
  <si>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ALVENARIA DE VEDAÇÃO DE BLOCOS CERÂMICOS FURADOS NA HORIZONTAL DE 9X19X29 CM (ESPESSURA 9 CM) E ARGAMASSA DE ASSENTAMENTO COM PREPARO EM BETONEIRA. AF_12/2021</t>
  </si>
  <si>
    <t>Cobertura 06</t>
  </si>
  <si>
    <t>Recepção 02</t>
  </si>
  <si>
    <t>Jurídico - Meio Ambiente</t>
  </si>
  <si>
    <t>Secretário - Meio Ambiente</t>
  </si>
  <si>
    <t>Engenharia e Atendimento - Meio Amnbiente</t>
  </si>
  <si>
    <t>Secretário de Esporte e Lazer</t>
  </si>
  <si>
    <t>Sala de Coordenação - Esporte e Lazer</t>
  </si>
  <si>
    <t>T.I.</t>
  </si>
  <si>
    <t>Circulação 06 (Rampa 6 e Patamar 03)</t>
  </si>
  <si>
    <t>Engenharia - Infraestrutura</t>
  </si>
  <si>
    <t>Atendimento - Infraestrutura</t>
  </si>
  <si>
    <t>Secretário de Infraestrutura</t>
  </si>
  <si>
    <t>Circulação 05 (Rampa7)</t>
  </si>
  <si>
    <t>W.C. Masc. 02</t>
  </si>
  <si>
    <t>W.C. Fem. 02</t>
  </si>
  <si>
    <t>Engenharia e Técnicos - Ideflor/Agricultura</t>
  </si>
  <si>
    <t>Secretário de Agricultura</t>
  </si>
  <si>
    <t>W.C. Feminino 01</t>
  </si>
  <si>
    <t>AMBIENTE</t>
  </si>
  <si>
    <t>W.C. Masculino 01</t>
  </si>
  <si>
    <t>Circulação 04</t>
  </si>
  <si>
    <t>Circulação 03</t>
  </si>
  <si>
    <t>Circulação 02</t>
  </si>
  <si>
    <t>Circulação 01</t>
  </si>
  <si>
    <t>Sala de Operação / Licitação - Setor de Convênios</t>
  </si>
  <si>
    <t>Secretaria de Finanças</t>
  </si>
  <si>
    <t>Recepção 01</t>
  </si>
  <si>
    <t>Cobertura 6</t>
  </si>
  <si>
    <t>Cobertura 6 - Platibanda</t>
  </si>
  <si>
    <t>MASSA ÚNICA, PARA RECEBIMENTO DE PINTURA, EM ARGAMASSA TRAÇO 1:2:8, PREPARO MECÂNICO COM BETONEIRA 400L, APLICADA MANUALMENTE EM FACES INTERNAS DE PAREDES, ESPESSURA DE 10MM, COM EXECUÇÃO DE TALISCAS. AF_06/2014</t>
  </si>
  <si>
    <t>Total s/ desconto</t>
  </si>
  <si>
    <t>7.2.2</t>
  </si>
  <si>
    <t>Porta</t>
  </si>
  <si>
    <t>Secretário + Eng e  Atendimento - Meio Ambiente</t>
  </si>
  <si>
    <t>Setor Jurídico e Recursos Humanos</t>
  </si>
  <si>
    <t>(Mureta)</t>
  </si>
  <si>
    <t>W.C. Masc e Fem. 02</t>
  </si>
  <si>
    <t>WC. PCD Fem. e WC. Fem. 01</t>
  </si>
  <si>
    <t>WC. PCD Masc. e WC. Masc. 01</t>
  </si>
  <si>
    <t>Secretaria de Finanças e Sala de Contabilidade</t>
  </si>
  <si>
    <t>Hall, Banheiro 02 e DML</t>
  </si>
  <si>
    <t>Sala de Reunião e Auditório</t>
  </si>
  <si>
    <t>Compras e Circulação</t>
  </si>
  <si>
    <t>9.1.2</t>
  </si>
  <si>
    <t>Esquadria basculante em vidro temperado de 6mm</t>
  </si>
  <si>
    <t>E3</t>
  </si>
  <si>
    <t>E8</t>
  </si>
  <si>
    <t>E11</t>
  </si>
  <si>
    <t>VT1 (RUA OLAVO BILAC)</t>
  </si>
  <si>
    <t xml:space="preserve">VT2 </t>
  </si>
  <si>
    <t>Tipos</t>
  </si>
  <si>
    <t>Perímetro Total =</t>
  </si>
  <si>
    <t>Perímetro Total (m)</t>
  </si>
  <si>
    <t>Perímetro Total</t>
  </si>
  <si>
    <t>Total Parcial =</t>
  </si>
  <si>
    <t>Revestimento em ALVENARIAS</t>
  </si>
  <si>
    <t>DESCONTOS</t>
  </si>
  <si>
    <t>FORRO EM DRYWALL, PARA AMBIENTES RESIDENCIAIS, INCLUSIVE ESTRUTURA DE FIXAÇÃO. AF_05/2017_P</t>
  </si>
  <si>
    <t>FORNECIMENTO E INSTALAÇÃO DE BRISE HORIZONTAL EM MADEIRA DE LEI COM PINTURA EM VERNIZ, COM ESTRUTURA METÁLICAS EM PERFIS U - 75X4 E=2,35MM E INCLUINDO PINTURA ANTICORROSIVA SOBRE PERFIL METÁLICO - DIMENSÕES: (6,13+2,05)X6,26M - BRISE SOLEIL 01</t>
  </si>
  <si>
    <t>FORNECIMENTO E INSTALAÇÃO DE BRISE HORIZONTAL EM MADEIRA DE LEI COM PINTURA EM VERNIZ, COM ESTRUTURA METÁLICAS EM PERFIS U - 75X4 E=2,35MM E INCLUINDO PINTURA ANTICORROSIVA SOBRE PERFIL METÁLICO - DIMENSÕES:(4,20+4,15)X 6,26M BRISE SOLEIL 02</t>
  </si>
  <si>
    <t>Painel para fachada em Aço Corten com estrutura em metalon para fixação. Dimensões: 1,0x6,0m - Fornecimento e Instalação</t>
  </si>
  <si>
    <t>COMPOSIÇÃO 76</t>
  </si>
  <si>
    <t>ELEMENTO DECORATIVO EM ESTRUTURA DE METALON REVESTIDO EM ACM COM ACABAMENTO AMADEIRADO TIPO "CASTANHA", RETANGULAR, COM DIMENSÕES 0,30X0,50X2,90M</t>
  </si>
  <si>
    <t>TÊ DE REDUÇÃO, PVC, SOLDÁVEL, DN 32MM X 25MM, INSTALADO EM PRUMADA DE ÁGUA - FORNECIMENTO E INSTALAÇÃO. AF_12/2014</t>
  </si>
  <si>
    <t>14.1.10</t>
  </si>
  <si>
    <t>14.1.11</t>
  </si>
  <si>
    <t>LUVA, PVC, SOLDÁVEL, DN 32MM, INSTALADO EM PRUMADA DE ÁGUA - FORNECIMENTO E INSTALAÇÃO. AF_12/2014</t>
  </si>
  <si>
    <t>TUBO, PVC, SOLDÁVEL, DN 32 MM, INSTALADO EM RESERVAÇÃO DE ÁGUA DE EDIFICAÇÃO QUE POSSUA RESERVATÓRIO DE FIBRA/FIBROCIMENTO   FORNECIMENTO E INSTALAÇÃO. AF_06/2016</t>
  </si>
  <si>
    <t>14.2.10</t>
  </si>
  <si>
    <t>CURVA 90 GRAUS, PVC, SERIE R, ÁGUA PLUVIAL, DN 100 MM, JUNTA ELÁSTICA, FORNECIDO E INSTALADO EM CONDUTORES VERTICAIS DE ÁGUAS PLUVIAIS. AF_12/2014</t>
  </si>
  <si>
    <t>14.3.7</t>
  </si>
  <si>
    <t>Manta asfáltica SBS-3mm c/ filme de polietileno</t>
  </si>
  <si>
    <t>14.3.8</t>
  </si>
  <si>
    <t>14.3.9</t>
  </si>
  <si>
    <t>PROTEÇÃO MECÂNICA DE SUPERFÍCIE VERTICAL COM ARGAMASSA DE CIMENTO E AREIA, TRAÇO 1:3, E=2CM. AF_06/2018</t>
  </si>
  <si>
    <t>14.3.10</t>
  </si>
  <si>
    <t>Grade em ferro p/ canaleta l = 0,40m com articulação</t>
  </si>
  <si>
    <t>JOELHO 90 GRAUS, PVC, SERIE NORMAL, ESGOTO PREDIAL, DN 50 MM, JUNTA ELÁSTICA, FORNECIDO E INSTALADO EM PRUMADA DE ESGOTO SANITÁRIO OU VENTILAÇÃO. AF_12/2014</t>
  </si>
  <si>
    <t>JOELHO 45 GRAUS, PVC, SERIE NORMAL, ESGOTO PREDIAL, DN 40 MM, JUNTA SOLDÁVEL, FORNECIDO E INSTALADO EM RAMAL DE DESCARGA OU RAMAL DE ESGOTO SANITÁRIO. AF_12/2014</t>
  </si>
  <si>
    <t>JOELHO 45 GRAUS, PVC, SERIE NORMAL, ESGOTO PREDIAL, DN 50 MM, JUNTA ELÁSTICA, FORNECIDO E INSTALADO EM PRUMADA DE ESGOTO SANITÁRIO OU VENTILAÇÃO. AF_12/2014</t>
  </si>
  <si>
    <t>Te PVC  c/ redução 100mm x 50mm - LS</t>
  </si>
  <si>
    <t>TANQUE SÉPTICO CIRCULAR, EM CONCRETO PRÉ-MOLDADO, DIÂMETRO INTERNO = 1,88 M, ALTURA INTERNA = 2,50 M, VOLUME ÚTIL: 6245,8 L (PARA 32 CONTRIBUINTES). AF_12/2020</t>
  </si>
  <si>
    <t>BARRA DE APOIO LATERAL ARTICULADA, COM TRAVA, EM ACO INOX POLIDO, FIXADA NA PAREDE - FORNECIMENTO E INSTALAÇÃO. AF_01/2020</t>
  </si>
  <si>
    <t>16.14</t>
  </si>
  <si>
    <t>Bebedouro aço inox c/4 torneiras e filtro (det.5)</t>
  </si>
  <si>
    <t>16.13</t>
  </si>
  <si>
    <t>16.11</t>
  </si>
  <si>
    <t>16.8</t>
  </si>
  <si>
    <t>unid</t>
  </si>
  <si>
    <t>Largura da Superficies Horizontal</t>
  </si>
  <si>
    <t>Perimetro de Superficies Internas</t>
  </si>
  <si>
    <t>Acima do fogão</t>
  </si>
  <si>
    <t>Bho 02</t>
  </si>
  <si>
    <t>Bho 01</t>
  </si>
  <si>
    <t>WC Masc 02</t>
  </si>
  <si>
    <t>WC Fem 02</t>
  </si>
  <si>
    <t>WC Fem 01</t>
  </si>
  <si>
    <t>WC Masc 01</t>
  </si>
  <si>
    <t>WC PCD's</t>
  </si>
  <si>
    <t>Qtd</t>
  </si>
  <si>
    <t>Vertical</t>
  </si>
  <si>
    <t>Horizontal</t>
  </si>
  <si>
    <t>Mesmo quantitativo de saboneteira</t>
  </si>
  <si>
    <t>Mesmo quantitativo de assento sanitário</t>
  </si>
  <si>
    <t>Área de Serv</t>
  </si>
  <si>
    <t>BHO 02</t>
  </si>
  <si>
    <t>WC PCD Masc</t>
  </si>
  <si>
    <t>WC PCD Fem</t>
  </si>
  <si>
    <t>BANCADA EM GRANITO PARA COPA DE  620 X 60 CM, COM CUBA DE EMBUTIR DE AÇO, VÁLVULA E SIFÃO, ENGATE FLEXÍVEL 30 CM, TORNEIRA CROMADA, DE MESA, 1/2 OU 3/4. FORNEC. E INSTALAÇÃO.</t>
  </si>
  <si>
    <t>1744</t>
  </si>
  <si>
    <t>CUBA ACO INOX (AISI 304) DE EMBUTIR COM VALVULA 3 1/2 ", DE *40 X 34 X 12* CM</t>
  </si>
  <si>
    <t>11795</t>
  </si>
  <si>
    <t>20231</t>
  </si>
  <si>
    <t>RODAPE OU RODABANCADA EM GRANITO, POLIDO, TIPO ANDORINHA/ QUARTZ/ CASTELO/ CORUMBA OU OUTROS EQUIVALENTES DA REGIAO, H= 10 CM, E=  *2,0* CM</t>
  </si>
  <si>
    <t>4823</t>
  </si>
  <si>
    <t xml:space="preserve">BANCADA GRANITO CINZA POLIDO, PADRÃO POPULAR, COM RODABANCA E MÃO FRANCESA - FORNECIMENTO E INSTALAÇÃO. </t>
  </si>
  <si>
    <t xml:space="preserve">BANCADA GRANITO CINZA POLIDO, 160X60CM PADRÃO POPULAR, COM UMA CUBAS DE EMBUTIR EM AÇO INOXIDAVEL, INCLUINDO VÁLVULA E SIFÃO TIPO GARRAFA EM METAL CROMADO - FORNECIMENTO E INSTALAÇÃO. </t>
  </si>
  <si>
    <t>TERMINAL DE VENTILACAO, 50 MM, SERIE NORMAL, ESGOTO PREDIAL. FORNECIMENTO E INSTALAÇÃO.</t>
  </si>
  <si>
    <t>TERMINAL DE VENTILACAO, 50 MM, SERIE NORMAL, ESGOTO PREDIAL</t>
  </si>
  <si>
    <t xml:space="preserve">UN    </t>
  </si>
  <si>
    <t>ADESIVO PLASTICO PARA PVC, FRASCO COM *850* GR</t>
  </si>
  <si>
    <t>LIXA D'AGUA EM FOLHA, GRAO 100</t>
  </si>
  <si>
    <t>9.2.3</t>
  </si>
  <si>
    <t>11.3</t>
  </si>
  <si>
    <t>11.3.1</t>
  </si>
  <si>
    <t>11.3.2</t>
  </si>
  <si>
    <t>11.3.3</t>
  </si>
  <si>
    <t>11.3.4</t>
  </si>
  <si>
    <t>11.3.5</t>
  </si>
  <si>
    <t>11.3.6</t>
  </si>
  <si>
    <t>11.3.7</t>
  </si>
  <si>
    <t>21.1</t>
  </si>
  <si>
    <t>15.24</t>
  </si>
  <si>
    <t>TÊ, EM FERRO GALVANIZADO, DN 65 (2 1/2"), CONEXÃO ROSQUEADA, INSTALADO EM PRUMADAS - FORNECIMENTO E INSTALAÇÃO. AF_10/2020</t>
  </si>
  <si>
    <t>JOELHO 90 GRAUS, EM FERRO GALVANIZADO, DN 65 (2 1/2"), CONEXÃO ROSQUEADA, INSTALADO EM PRUMADAS - FORNECIMENTO E INSTALAÇÃO. AF_10/2020</t>
  </si>
  <si>
    <t>REGISTRO DE GAVETA BRUTO, LATÃO, ROSCÁVEL, 2 1/2" - FORNECIMENTO E INSTALAÇÃO. AF_08/2021</t>
  </si>
  <si>
    <r>
      <t xml:space="preserve">Nota: </t>
    </r>
    <r>
      <rPr>
        <sz val="10"/>
        <rFont val="Arial"/>
        <family val="2"/>
      </rPr>
      <t>Quantitativos conforme projeto estrutural.</t>
    </r>
  </si>
  <si>
    <t>Volume Total Escavado =</t>
  </si>
  <si>
    <t>Vol. Conc. Infraestrutura.</t>
  </si>
  <si>
    <t>Item:</t>
  </si>
  <si>
    <t>Vol. Conc. Lastro</t>
  </si>
  <si>
    <t>Estacas</t>
  </si>
  <si>
    <t>Estaca raiz - 30cm</t>
  </si>
  <si>
    <t>Arrasamento de estaca</t>
  </si>
  <si>
    <t xml:space="preserve">Comp. Total </t>
  </si>
  <si>
    <t>LASTRO DE CONCRETO MAGRO, APLICADO EM BLOCOS DE COROAMENTO OU SAPATAS. AF_08/2017</t>
  </si>
  <si>
    <t>Armação p/ concreto</t>
  </si>
  <si>
    <t>Infra-estrutura</t>
  </si>
  <si>
    <t>Superestrutura</t>
  </si>
  <si>
    <t>Área total de Cimbramento</t>
  </si>
  <si>
    <t>Cimbramento de madeira p/ h até 3,00 m</t>
  </si>
  <si>
    <t>LANÇAMENTO COM USO DE BOMBA, ADENSAMENTO E ACABAMENTO DE CONCRETO EM ESTRUTURAS. AF_02/2022</t>
  </si>
  <si>
    <t>Cobertura - telha em aço galvanizado e=0,5mm</t>
  </si>
  <si>
    <t>CASA DE BOMBA 1</t>
  </si>
  <si>
    <t>CASA DE BOMBA 2</t>
  </si>
  <si>
    <t>CASA DE BOMBA 1 - Paredes</t>
  </si>
  <si>
    <t>CASA DE BOMBA 1 - Laje de Fundo</t>
  </si>
  <si>
    <t>CA-51</t>
  </si>
  <si>
    <t>CASA DE BOMBA 2 - Laje de Fundo</t>
  </si>
  <si>
    <t>CASA DE BOMBA 2 - Paredes</t>
  </si>
  <si>
    <t>FABRICAÇÃO E INSTALAÇÃO DE PONTALETES DE MADEIRA NÃO APARELHADA PARA TELHADOS COM ATÉ 2 ÁGUAS E COM TELHA ONDULADA DE FIBROCIMENTO, ALUMÍNIO OU PLÁSTICA EM EDIFÍCIO RESIDENCIAL TÉRREO, INCLUSO TRANSPORTE VERTICAL. AF_07/2019</t>
  </si>
  <si>
    <t>HASTE RETA PARA GANCHO DE FERRO GALVANIZADO, COM ROSCA 1/4 " X 30 CM PARA FIXACAO DE TELHA METALICA, INCLUI PORCA E ARRUELAS DE VEDACAO</t>
  </si>
  <si>
    <t xml:space="preserve">TELHA GALVALUME COM ISOLAMENTO TERMOACUSTICO EM ESPUMA RIGIDA DE POLIURETANO (PU) INJETADO, ESPESSURA DE 30 MM. DENSIDADE DE 35 KG/M3, REVESTIMENTO EM TELHA TRAPEZODAL NAS DUAS FACES COM ESPESSURA DE 10.50 MM CADA, ACABAMENTO NATURAL (NAO INCLUI ACESSORIOS DE FXACAO) </t>
  </si>
  <si>
    <t>FORNECIMENTO E INSTALAÇÃO DE COBERTURA EM TELHA TERMOACUSTICA CHAPA CHAPA, ESPESSURA DE 30MM, FIXADO COM PERFIL U - 125x50x3MM E TIRANTE EM AÇO GALVANIZADO (COBERTURA 07).</t>
  </si>
  <si>
    <t>TELHADISTA COM ENCARGOS COMPLEMENTARES</t>
  </si>
  <si>
    <t>Ponto de dreno p/ split (10m)</t>
  </si>
  <si>
    <t>PT</t>
  </si>
  <si>
    <t>CONTRAPISO EM ARGAMASSA TRAÇO 1:4 (CIMENTO E AREIA), PREPARO MECÂNICO COM BETONEIRA 400 L, APLICADO EM ÁREAS SECAS SOBRE LAJE, ADERIDO, ACABAMENTO NÃO REFORÇADO, ESPESSURA 2CM. AF_07/2021</t>
  </si>
  <si>
    <t>SISTEMAS ELETRÔNICOS - CABEAMENO ESTUTURADO E CFTV</t>
  </si>
  <si>
    <t>Vidro temperado incolor e= 6mm com ferragens</t>
  </si>
  <si>
    <t>P1 e P7</t>
  </si>
  <si>
    <t>REVESTIMENTO CERÂMICO PARA PAREDES INTERNAS COM PLACAS TIPO ESMALTADA PADRÃO POPULAR DE DIMENSÕES 20X20 CM, ARGAMASSA TIPO AC III, APLICADAS EM AMBIENTES DE ÁREA MAIOR QUE 5 M2 NA ALTURA INTEIRA DAS PAREDES. AF_06/2014</t>
  </si>
  <si>
    <t>10.5</t>
  </si>
  <si>
    <t>APLICAÇÃO DE FUNDO SELADOR ACRÍLICO EM TETO, UMA DEMÃO. AF_06/2014</t>
  </si>
  <si>
    <t>PVA interna c/ massa sem selador</t>
  </si>
  <si>
    <t>EMBOÇO, PARA RECEBIMENTO DE CERÂMICA, EM ARGAMASSA TRAÇO 1:2:8, PREPARO MECÂNICO COM BETONEIRA 400L, APLICADO MANUALMENTE EM FACES INTERNAS DE PAREDES, PARA AMBIENTE COM ÁREA MAIOR QUE 10M2, ESPESSURA DE 10MM, COM EXECUÇÃO DE TALISCAS. AF_06/2014</t>
  </si>
  <si>
    <t>2.4</t>
  </si>
  <si>
    <t xml:space="preserve">Quantidade = </t>
  </si>
  <si>
    <t>Entrada de Energia e Alimentadores de Quadros</t>
  </si>
  <si>
    <t>Subestação aérea c/ transformador 150 KVA (incl.poste, acessorios e cabine de mediçao)</t>
  </si>
  <si>
    <t>CORDOALHA DE COBRE NU 50 MM², ENTERRADA, SEM ISOLADOR - FORNECIMENTO E INSTALAÇÃO. AF_12/2017</t>
  </si>
  <si>
    <t>ELETRODUTO FLEXÍVEL CORRUGADO, PEAD, DN 100 (4"), PARA REDE ENTERRADA DE DISTRIBUIÇÃO DE ENERGIA ELÉTRICA - FORNECIMENTO E INSTALAÇÃO. AF_12/2021</t>
  </si>
  <si>
    <t>CAIXA ENTERRADA ELÉTRICA RETANGULAR, EM CONCRETO PRÉ-MOLDADO, FUNDO COM BRITA, DIMENSÕES INTERNAS: 0,8X0,8X0,5 M. AF_12/2020</t>
  </si>
  <si>
    <t>CAIXA ENTERRADA ELÉTRICA RETANGULAR, EM CONCRETO PRÉ-MOLDADO, FUNDO COM BRITA, DIMENSÕES INTERNAS: 0,4X0,4X0,4 M. AF_12/2020</t>
  </si>
  <si>
    <t>CABO DE COBRE FLEXÍVEL ISOLADO, 185 MM², ANTI-CHAMA 0,6/1,0 KV, PARA REDE ENTERRADA DE DISTRIBUIÇÃO DE ENERGIA ELÉTRICA - FORNECIMENTO E INSTALAÇÃO. AF_12/2021</t>
  </si>
  <si>
    <t>CABO DE COBRE FLEXÍVEL ISOLADO, 95 MM², ANTI-CHAMA 0,6/1,0 KV, PARA REDE ENTERRADA DE DISTRIBUIÇÃO DE ENERGIA ELÉTRICA - FORNECIMENTO E INSTALAÇÃO. AF_12/2021</t>
  </si>
  <si>
    <t>Alimentadores de Quadros Parciais</t>
  </si>
  <si>
    <t>TÊ PARA ELETROCALHA 150X100</t>
  </si>
  <si>
    <t>FIXAÇÃO DE TUBOS HORIZONTAIS DE PVC, CPVC OU COBRE DIÂMETROS MENORES OU IGUAIS A 40 MM OU ELETROCALHAS ATÉ 150MM DE LARGURA, COM ABRAÇADEIRA METÁLICA RÍGIDA TIPO D 1/2, FIXADA EM PERFILADO EM LAJE. AF_05/2015</t>
  </si>
  <si>
    <t>ELETRODUTO RÍGIDO ROSCÁVEL, PVC, DN 85 MM (3"), PARA REDE ENTERRADA DE DISTRIBUIÇÃO DE ENERGIA ELÉTRICA - FORNECIMENTO E INSTALAÇÃO. AF_12/2021</t>
  </si>
  <si>
    <t>ELETRODUTO RÍGIDO ROSCÁVEL, PVC, DN 40 MM (1 1/4"), PARA CIRCUITOS TERMINAIS, INSTALADO EM FORRO - FORNECIMENTO E INSTALAÇÃO. AF_12/2015</t>
  </si>
  <si>
    <t>CURVA 90 GRAUS PARA ELETRODUTO, PVC, ROSCÁVEL, DN 40 MM (1 1/4"), PARA CIRCUITOS TERMINAIS, INSTALADA EM PAREDE - FORNECIMENTO E INSTALAÇÃO. AF_12/2015</t>
  </si>
  <si>
    <t>LUVA PARA ELETRODUTO, PVC, ROSCÁVEL, DN 85 MM (3"), PARA REDE ENTERRADA DE DISTRIBUIÇÃO DE ENERGIA ELÉTRICA - FORNECIMENTO E INSTALAÇÃO. AF_12/2021</t>
  </si>
  <si>
    <t>LUVA PARA ELETRODUTO, PVC, ROSCÁVEL, DN 40 MM (1 1/4"), PARA CIRCUITOS TERMINAIS, INSTALADA EM FORRO - FORNECIMENTO E INSTALAÇÃO. AF_12/2015</t>
  </si>
  <si>
    <t>Bucha e arruela de alumínio de 3"</t>
  </si>
  <si>
    <t>Bucha e arruela de alumínio de   1 1/4"</t>
  </si>
  <si>
    <t>CABO DE COBRE FLEXÍVEL ISOLADO, 70 MM², ANTI-CHAMA 0,6/1,0 KV, PARA REDE ENTERRADA DE DISTRIBUIÇÃO DE ENERGIA ELÉTRICA - FORNECIMENTO E INSTALAÇÃO. AF_12/2021</t>
  </si>
  <si>
    <t>CABO DE COBRE FLEXÍVEL ISOLADO, 35 MM², ANTI-CHAMA 0,6/1,0 KV, PARA REDE ENTERRADA DE DISTRIBUIÇÃO DE ENERGIA ELÉTRICA - FORNECIMENTO E INSTALAÇÃO. AF_12/2021</t>
  </si>
  <si>
    <t>QGBT - Quadro Geral de Baixa Tensão</t>
  </si>
  <si>
    <t>DISPOSITIVO DPS CLASSE II, 1 POLO, TENSÃO MÁXIMA DE 275 V, CORRENTE MÁXIMA DE *60* KA (TIPO AC) - FORNECIMENTO E INSTALAÇÃO</t>
  </si>
  <si>
    <t>DISJUNTOR TERMOMAGNÉTICO TRIPOLAR , CORRENTE NOMINAL DE 400A - FORNECIMENTO E INSTALAÇÃO. AF_10/2020</t>
  </si>
  <si>
    <t>DISJUNTOR MONOPOLAR TIPO DIN, CORRENTE NOMINAL DE 32A - FORNECIMENTO E INSTALAÇÃO. AF_10/2020</t>
  </si>
  <si>
    <t>QDLF-1 - Quadro de Distribuição e Força 1</t>
  </si>
  <si>
    <t>QUADRO DE DISTRIBUIÇÃO DE ENERGIA EM CHAPA DE AÇO GALVANIZADO, DE EMBUTIR, COM BARRAMENTO TRIFÁSICO, PARA 24 DISJUNTORES DIN 100A - FORNECIMENTO E INSTALAÇÃO. AF_10/2020</t>
  </si>
  <si>
    <t>Proteção contra surto Classe II,1P,20KA,175V</t>
  </si>
  <si>
    <t>11.5</t>
  </si>
  <si>
    <t>QDLF-2 - Quadro de Distribuição e Força 2</t>
  </si>
  <si>
    <t>11.5.1</t>
  </si>
  <si>
    <t>11.5.2</t>
  </si>
  <si>
    <t>11.5.3</t>
  </si>
  <si>
    <t>11.5.4</t>
  </si>
  <si>
    <t>11.6</t>
  </si>
  <si>
    <t>QDT-1 - Quadro de Distribuição de Tomadas 1</t>
  </si>
  <si>
    <t>11.6.1</t>
  </si>
  <si>
    <t>11.6.2</t>
  </si>
  <si>
    <t>11.6.3</t>
  </si>
  <si>
    <t>11.6.4</t>
  </si>
  <si>
    <t>11.7</t>
  </si>
  <si>
    <t>QDT-2 - Quadro de Distribuição de Tomadas 2</t>
  </si>
  <si>
    <t>11.7.1</t>
  </si>
  <si>
    <t>11.7.2</t>
  </si>
  <si>
    <t>11.7.3</t>
  </si>
  <si>
    <t>11.7.4</t>
  </si>
  <si>
    <t>11.8</t>
  </si>
  <si>
    <t>QDAC - Quadro de Distribuição de Ar Condicionado</t>
  </si>
  <si>
    <t>11.8.1</t>
  </si>
  <si>
    <t>11.8.2</t>
  </si>
  <si>
    <t>11.8.3</t>
  </si>
  <si>
    <t>11.8.4</t>
  </si>
  <si>
    <t>11.8.5</t>
  </si>
  <si>
    <t>11.9</t>
  </si>
  <si>
    <t>Alimentadores de Máquinas de Ar Condicionado</t>
  </si>
  <si>
    <t>11.9.1</t>
  </si>
  <si>
    <t>Eletrocalha de metal curve "U"perf. 50x50  - 3m</t>
  </si>
  <si>
    <t>11.9.2</t>
  </si>
  <si>
    <t>11.9.3</t>
  </si>
  <si>
    <t>11.9.4</t>
  </si>
  <si>
    <t>11.9.5</t>
  </si>
  <si>
    <t>11.9.6</t>
  </si>
  <si>
    <t>11.9.7</t>
  </si>
  <si>
    <t>ELETRODUTO RÍGIDO ROSCÁVEL, PVC, DN 25 MM (3/4"), PARA CIRCUITOS TERMINAIS, INSTALADO EM FORRO - FORNECIMENTO E INSTALAÇÃO. AF_12/2015</t>
  </si>
  <si>
    <t>11.9.8</t>
  </si>
  <si>
    <t>11.9.9</t>
  </si>
  <si>
    <t>LUVA PARA ELETRODUTO, PVC, ROSCÁVEL, DN 25 MM (3/4"), PARA CIRCUITOS TERMINAIS, INSTALADA EM FORRO - FORNECIMENTO E INSTALAÇÃO. AF_12/2015</t>
  </si>
  <si>
    <t>11.9.10</t>
  </si>
  <si>
    <t>CONDULETE DE ALUMÍNIO, TIPO E, PARA ELETRODUTO DE AÇO GALVANIZADO DN 20 MM (3/4''), APARENTE - FORNECIMENTO E INSTALAÇÃO. AF_11/2016_P</t>
  </si>
  <si>
    <t>11.9.11</t>
  </si>
  <si>
    <t>11.9.12</t>
  </si>
  <si>
    <t>Bucha e arruela de alumínio de     3/4"</t>
  </si>
  <si>
    <t>11.9.13</t>
  </si>
  <si>
    <t>CABO DE COBRE FLEXÍVEL ISOLADO, 4 MM², ANTI-CHAMA 0,6/1,0 KV, PARA CIRCUITOS TERMINAIS - FORNECIMENTO E INSTALAÇÃO. AF_12/2015</t>
  </si>
  <si>
    <t>11.9.14</t>
  </si>
  <si>
    <t>11.10</t>
  </si>
  <si>
    <t>Sistema de Iluminação e Tomadas</t>
  </si>
  <si>
    <t>11.10.1</t>
  </si>
  <si>
    <t>11.10.2</t>
  </si>
  <si>
    <t>11.10.3</t>
  </si>
  <si>
    <t>11.10.4</t>
  </si>
  <si>
    <t>11.10.5</t>
  </si>
  <si>
    <t>11.10.6</t>
  </si>
  <si>
    <t>11.10.7</t>
  </si>
  <si>
    <t>Bucha e arruela de alumínio de    1"</t>
  </si>
  <si>
    <t>11.10.8</t>
  </si>
  <si>
    <t>11.10.9</t>
  </si>
  <si>
    <t>11.10.10</t>
  </si>
  <si>
    <t>11.10.11</t>
  </si>
  <si>
    <t>11.10.12</t>
  </si>
  <si>
    <t>11.10.13</t>
  </si>
  <si>
    <t>CAIXA RETANGULAR 4" X 2" BAIXA (0,30 M DO PISO), PVC, INSTALADA EM PAREDE - FORNECIMENTO E INSTALAÇÃO. AF_12/2015</t>
  </si>
  <si>
    <t>11.10.14</t>
  </si>
  <si>
    <t>LUMINÁRIA ARANDELA TIPO TARTARUGA, COM GRADE, DE SOBREPOR, COM 1 LÂMPADA FLUORESCENTE DE 15 W, SEM REATOR - FORNECIMENTO E INSTALAÇÃO. AF_02/2020</t>
  </si>
  <si>
    <t>11.10.15</t>
  </si>
  <si>
    <t>11.10.16</t>
  </si>
  <si>
    <t>11.10.17</t>
  </si>
  <si>
    <t>11.10.18</t>
  </si>
  <si>
    <t>ELETRODUTO RÍGIDO ROSCÁVEL, PVC, DN 32 MM (1"), PARA CIRCUITOS TERMINAIS, INSTALADO EM FORRO - FORNECIMENTO E INSTALAÇÃO. AF_12/2015</t>
  </si>
  <si>
    <t>11.10.19</t>
  </si>
  <si>
    <t>11.10.20</t>
  </si>
  <si>
    <t>CURVA 90 GRAUS PARA ELETRODUTO, PVC, ROSCÁVEL, DN 32 MM (1"), PARA CIRCUITOS TERMINAIS, INSTALADA EM PAREDE - FORNECIMENTO E INSTALAÇÃO. AF_12/2015</t>
  </si>
  <si>
    <t>11.10.21</t>
  </si>
  <si>
    <t>11.10.22</t>
  </si>
  <si>
    <t>LUVA PARA ELETRODUTO, PVC, ROSCÁVEL, DN 32 MM (1"), PARA CIRCUITOS TERMINAIS, INSTALADA EM PAREDE - FORNECIMENTO E INSTALAÇÃO. AF_12/2015</t>
  </si>
  <si>
    <t>11.10.23</t>
  </si>
  <si>
    <t>11.10.24</t>
  </si>
  <si>
    <t>11.10.25</t>
  </si>
  <si>
    <t>INTERRUPTOR SIMPLES (1 MÓDULO), 10A/250V, INCLUINDO SUPORTE E PLACA - FORNECIMENTO E INSTALAÇÃO. AF_12/2015</t>
  </si>
  <si>
    <t>11.10.26</t>
  </si>
  <si>
    <t>INTERRUPTOR SIMPLES (2 MÓDULOS), 10A/250V, INCLUINDO SUPORTE E PLACA - FORNECIMENTO E INSTALAÇÃO. AF_12/2015</t>
  </si>
  <si>
    <t>11.10.27</t>
  </si>
  <si>
    <t>INTERRUPTOR SIMPLES (3 MÓDULOS), 10A/250V, INCLUINDO SUPORTE E PLACA - FORNECIMENTO E INSTALAÇÃO. AF_12/2015</t>
  </si>
  <si>
    <t>11.10.28</t>
  </si>
  <si>
    <t>TOMADA BAIXA DE EMBUTIR (2 MÓDULOS), 2P+T 10 A, INCLUINDO SUPORTE E PLACA - FORNECIMENTO E INSTALAÇÃO. AF_12/2015</t>
  </si>
  <si>
    <t>11.10.29</t>
  </si>
  <si>
    <t>TOMADA BAIXA DE EMBUTIR (1 MÓDULO), 2P+T 10 A, INCLUINDO SUPORTE E PLACA - FORNECIMENTO E INSTALAÇÃO. AF_12/2015</t>
  </si>
  <si>
    <t>11.10.30</t>
  </si>
  <si>
    <t>11.10.31</t>
  </si>
  <si>
    <t>11.11</t>
  </si>
  <si>
    <t>11.11.1</t>
  </si>
  <si>
    <t>11.11.2</t>
  </si>
  <si>
    <t>11.11.3</t>
  </si>
  <si>
    <t>Base para mastro 1 1/2"</t>
  </si>
  <si>
    <t>11.11.4</t>
  </si>
  <si>
    <t>11.11.5</t>
  </si>
  <si>
    <t>Pára-Raio latao cromado tipo Franklin (s/acess.)</t>
  </si>
  <si>
    <t>11.11.6</t>
  </si>
  <si>
    <t>11.11.7</t>
  </si>
  <si>
    <t>Terminal de compressão em latão  35mm²</t>
  </si>
  <si>
    <t>11.11.8</t>
  </si>
  <si>
    <t>CORDOALHA DE COBRE NU 35 MM², NÃO ENTERRADA, COM ISOLADOR - FORNECIMENTO E INSTALAÇÃO. AF_12/2017</t>
  </si>
  <si>
    <t>11.11.9</t>
  </si>
  <si>
    <t>11.11.10</t>
  </si>
  <si>
    <t>11.11.11</t>
  </si>
  <si>
    <t>280014</t>
  </si>
  <si>
    <t>280007</t>
  </si>
  <si>
    <t>TERMINAL AEREO EM ACO GALVANIZADO COM BASE DE FIXACAO H = 30CM</t>
  </si>
  <si>
    <t>TERMINAL AEREO EM ACO GALVANIZADO COM BASE DE FIXACAO H = 30CM. FORNECIMENTO E INSTALAÇÃO</t>
  </si>
  <si>
    <t>LUMINÁRIA TIPO PLAFON QUADRADO DE LED 30x30cm - POTÊNCIA 20W</t>
  </si>
  <si>
    <t>LUMINÁRIA TIPO PLAFON QUADRADO DE LED 30x30cm - POTÊNCIA 20W. FORNECIMENTO E INSTALAÇÃO.</t>
  </si>
  <si>
    <t>LUMINÁRIA TIPO PLAFON QUADRADO DE LED 40x40cm - POTÊNCIA 40W</t>
  </si>
  <si>
    <t>LUMINÁRIA TIPO PLAFON QUADRADO DE LED 40x40cm - POTÊNCIA 40W. FORNECIMENTO E INSTALAÇÃO.</t>
  </si>
  <si>
    <t>SPOT DE LED PARA PISO 10W</t>
  </si>
  <si>
    <t>SPOT DE LED PARA PISO 10W. FORNECIMENTO E INSTALAÇÃO.</t>
  </si>
  <si>
    <t>SAIDA HORIZONTAL PARA ELETRODUTO 1""</t>
  </si>
  <si>
    <t>SAIDA HORIZONTAL PARA ELETRODUTO 1"". FORNECIMENTO E INSTALAÇÃO</t>
  </si>
  <si>
    <t>TERMINAL PARA ELETROCALHA 100X50MM</t>
  </si>
  <si>
    <t>TERMINAL PARA ELETROCALHA 100X50MM. FORNECIMENTO E INSTALAÇÃO.</t>
  </si>
  <si>
    <t>ELETROCALHA - CURVA 90 GRAUS HORIZONTAL 100X50MM</t>
  </si>
  <si>
    <t>ELETROCALHA - CURVA 90 GRAUS HORIZONTAL 100X50MM. FORNECIMENTO E INSTALAÇÃO.</t>
  </si>
  <si>
    <t>TE HORIZONTAL PARA ELETROCALHA 100X100MM</t>
  </si>
  <si>
    <t>TE HORIZONTAL PARA ELETROCALHA 100X100MM. FORNECIMENTO E INSTALAÇÃO.</t>
  </si>
  <si>
    <t>EMENDA INTERNA PARA ELETROCALHA 100x50MM</t>
  </si>
  <si>
    <t xml:space="preserve"> EMENDA INTERNA PARA ELETROCALHA 100x50MM. FORNECIMENTO E INSTALAÇÃO.</t>
  </si>
  <si>
    <t>ELETROCALHA - TAMPA DE ENCAIXE 100MM</t>
  </si>
  <si>
    <t>ELETROCALHA - TAMPA DE ENCAIXE 100MM. FORNECIMENTO E INSTALAÇÃO.</t>
  </si>
  <si>
    <t>ELETROCALHA PERFURADA TIPO ""U"" 100X50 CHAPA 20 SEM TAMPA</t>
  </si>
  <si>
    <t>ELETROCALHA PERFURADA TIPO ""U"" 100X50 CHAPA 20 SEM TAMPA. FORNECIMENTO E INSTALAÇÃO.</t>
  </si>
  <si>
    <t>SAIDA HORIZONTAL PARA ELETRODUTO 3/4""</t>
  </si>
  <si>
    <t>SAIDA HORIZONTAL PARA ELETRODUTO 3/4". FORNECIMENTO E INSTALAÇÃO.</t>
  </si>
  <si>
    <t>CURVA HORIZONTAL 90 GRAUS PARA ELETROCALHA 50x50MM</t>
  </si>
  <si>
    <t>CURVA HORIZONTAL 90 GRAUS PARA ELETROCALHA 50x50MM. FORNECIMENTO E INSTALAÇÕES.</t>
  </si>
  <si>
    <t>CURVA DE INVERSAO PARA ELETROCALHA 0,50m</t>
  </si>
  <si>
    <t>CURVA DE INVERSAO PARA ELETROCALHA 0,50m. FORNECIMENTO E INSTALAÇÃO</t>
  </si>
  <si>
    <t>EMENDA INTERNA PARA ELETROCALHA 50x50</t>
  </si>
  <si>
    <t>EMENDA INTERNA PARA ELETROCALHA 50x50MM. FORNECIMENTO E INSTALAÇÃO.</t>
  </si>
  <si>
    <t>ELETROCALHA - TERMINAL DE FECHAMENTO 50x50 CHAPA 20</t>
  </si>
  <si>
    <t>ELETROCALHA - TERMINAL DE FECHAMENTO 50x50 CHAPA 20. FORNECIMENTO E INSTALAÇÃO.</t>
  </si>
  <si>
    <t>TAMPA DE ENCAIXE PARA ELETROCALHA 50mm CHAPA 24</t>
  </si>
  <si>
    <t>TAMPA DE ENCAIXE PARA ELETROCALHA 50mm CHAPA 24. FORNECIMENTO E INSTALAÇÃO.</t>
  </si>
  <si>
    <t>DISPOSITIVO DPS CLASSE II, 1 POLO, TENSAO MAXIMA DE 275 V, CORRENTE MAXIMA DE *60* KA (TIPO AC)</t>
  </si>
  <si>
    <t>DISPOSITIVO DPS CLASSE II, 1 POLO, TENSÃO MÁXIMA DE 275 V, CORRENTE MÁXIMA DE *60* KA (TIPO AC) - FORNECIMENTO E INSTALAÇÃO.</t>
  </si>
  <si>
    <t>KIT BARRAMENTO TRIFÁSICO PARA 400A</t>
  </si>
  <si>
    <t>KIT BARRAMENTO TRIFÁSICO PARA 400A. FORNECIMENTO E INSTALAÇÃO.</t>
  </si>
  <si>
    <t>Argamassa de cimento e areia 1:4</t>
  </si>
  <si>
    <t>110141</t>
  </si>
  <si>
    <t>QUADRO DE COMANDO 1200X800X300MM IP55</t>
  </si>
  <si>
    <t>QUADRO DE COMANDO 1200X800X300MM IP55. FORNECIMENTO E INSTALAÇÃO.</t>
  </si>
  <si>
    <t>SAIDA HORIZONTAL PARA ELETROCALHA 1 1/4""</t>
  </si>
  <si>
    <t>SAIDA HORIZONTAL PARA ELETROCALHA 1 1/4". FORNECIMENTO E INSTALAÇÃO</t>
  </si>
  <si>
    <t>TERMINAL PARA ELETROCALHA 150X100MM</t>
  </si>
  <si>
    <t>TERMINAL PARA ELETROCALHA 150X100MM. FORNECIMENTO E INSTALAÇÃO.</t>
  </si>
  <si>
    <t>FLANGE DE ACOPLAMENTO EM PAINEL PARA 150X100MM</t>
  </si>
  <si>
    <t>COMPOSIÇÃO 7</t>
  </si>
  <si>
    <t>FLANGE DE ACOPLAMENTO EM PAINEL PARA 150X100MM. FORNECIMENTO E INSTALAÇÃO.</t>
  </si>
  <si>
    <t>CURVA DE INVERSÃO PARA ELETROCALHA 150X100MM</t>
  </si>
  <si>
    <t>CURVA DE INVERSÃO PARA ELETROCALHA 150X100MM. FORNECIMENTO E INSTALAÇÃO.</t>
  </si>
  <si>
    <t>CURVA PARA ELETROCALHA 150X100MM</t>
  </si>
  <si>
    <t>COMPOSIÇÃO 5</t>
  </si>
  <si>
    <t>CURVA PARA ELETROCALHA 150X100MM. FORNECIMENTO E INSTALAÇÃO.</t>
  </si>
  <si>
    <t>TALA DE EMENDA PARA ELETROCALHA 150X100MM</t>
  </si>
  <si>
    <t>TALA DE EMENDA PARA ELETROCALHA 150X100MM. FORNECIMENTO E INSTALAÇÃO.</t>
  </si>
  <si>
    <t>TÊ PARA ELETROCALHA 150X100MM. FORNECIMENTO E INSTALAÇÃO.</t>
  </si>
  <si>
    <t>TAMPA DE ENCAIXE PARA ELETROCALHA 150X100X3000MM</t>
  </si>
  <si>
    <t>TAMPA DE ENCAIXE PARA ELETROCALHA 150X100X3000MM. FORNECIMENTO E INSTALAÇÃO.</t>
  </si>
  <si>
    <t>ELETROCALHA 150x100x3000MM</t>
  </si>
  <si>
    <t>ELETROCALHA 150x100x3000MM. FORNECIMENTO E INSTALAÇÃO.</t>
  </si>
  <si>
    <t>COMPOSIÇÃO 35</t>
  </si>
  <si>
    <t>COMPOSIÇÃO 46</t>
  </si>
  <si>
    <t>COMPOSIÇÃO 47</t>
  </si>
  <si>
    <t>COMPOSIÇÃO 48</t>
  </si>
  <si>
    <t>COMPOSIÇÃO 50</t>
  </si>
  <si>
    <t>COMPOSIÇÃO 51</t>
  </si>
  <si>
    <t>COMPOSIÇÃO 65</t>
  </si>
  <si>
    <t>COMPOSIÇÃO 66</t>
  </si>
  <si>
    <t>COMPOSIÇÃO 67</t>
  </si>
  <si>
    <t>COMPOSIÇÃO 70</t>
  </si>
  <si>
    <t>COMPOSIÇÃO 71</t>
  </si>
  <si>
    <t>COMPOSIÇÃO 72</t>
  </si>
  <si>
    <t>COMPOSIÇÃO 73</t>
  </si>
  <si>
    <t>COMPOSIÇÃO 75</t>
  </si>
  <si>
    <t>COMPOSIÇÃO 77</t>
  </si>
  <si>
    <t>COMPOSIÇÃO 78</t>
  </si>
  <si>
    <t>COMPOSIÇÃO 79</t>
  </si>
  <si>
    <t>COMPOSIÇÃO 80</t>
  </si>
  <si>
    <t>9.2.8</t>
  </si>
  <si>
    <t>9.2.9</t>
  </si>
  <si>
    <t xml:space="preserve">Licenças e taxas da obra </t>
  </si>
  <si>
    <t>PAREDE COM PLACAS DE GESSO ACARTONADO (DRYWALL), PARA USO INTERNO, COM UMA FACE SIMPLES E ESTRUTURA METÁLICA COM GUIAS SIMPLES, SEM VÃOS. AF_06/2017_P</t>
  </si>
  <si>
    <t>ESCAVAÇÃO MECANIZADA DE VALA COM PROF. MAIOR QUE 4,5 M ATÉ 6,0 M (MÉDIA MONTANTE E JUSANTE/UMA COMPOSIÇÃO POR TRECHO), ESCAVADEIRA (1,2 M3), LARG. DE 1,5 M A 2,5 M, EM SOLO DE 1A CATEGORIA, LOCAIS COM BAIXO NÍVEL DE INTERFERÊNCIA. AF_02/2021</t>
  </si>
  <si>
    <t>REATERRO MECANIZADO DE VALA COM ESCAVADEIRA HIDRÁULICA (CAPACIDADE DA CAÇAMBA: 0,8 M³ / POTÊNCIA: 111 HP), LARGURA DE 1,5 A 2,5 M, PROFUNDIDADE DE 4,5 A 6,0 M, COM SOLO (SEM SUBSTITUIÇÃO) DE 1ª CATEGORIA EM LOCAIS COM BAIXO NÍVEL DE INTERFERÊNCIA. AF_04/2016</t>
  </si>
  <si>
    <t>Vidro temperado incolor e= 8mm com ferragens</t>
  </si>
  <si>
    <t>Meio-fio em concreto nas dimensões 0,15m x 0,12m sem lâmina d'água</t>
  </si>
  <si>
    <t>Meio-fio em concreto nas dimensões 0,30m x 0,12m sem lâmina d'água</t>
  </si>
  <si>
    <t>Escavação manual ate 1.50m de profundidade</t>
  </si>
  <si>
    <t>LASTRO DE CONCRETO MAGRO, APLICADO EM PISOS, LAJES SOBRE SOLO OU RADIERS, ESPESSURA DE 3 CM. AF_07/2016</t>
  </si>
  <si>
    <t>VERGA MOLDADA IN LOCO COM UTILIZAÇÃO DE BLOCOS CANALETA PARA JANELAS COM MAIS DE 1,5 M DE VÃO. AF_03/2016</t>
  </si>
  <si>
    <t>VERGA MOLDADA IN LOCO COM UTILIZAÇÃO DE BLOCOS CANALETA PARA PORTAS COM MAIS DE 1,5 M DE VÃO. AF_03/2016</t>
  </si>
  <si>
    <t xml:space="preserve">Repasse </t>
  </si>
  <si>
    <t>Contrapartida</t>
  </si>
  <si>
    <t>repasse</t>
  </si>
  <si>
    <t>contrapartida</t>
  </si>
  <si>
    <t>1ª PARCELA</t>
  </si>
  <si>
    <t>2ª PARCELA</t>
  </si>
  <si>
    <t>3ª PARCELA</t>
  </si>
  <si>
    <t>4ª PARCELA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</si>
</sst>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m\-yy;@"/>
    <numFmt numFmtId="166" formatCode="&quot;R$ &quot;#,##0.00;[Red]&quot;-R$ &quot;#,##0.00"/>
    <numFmt numFmtId="167" formatCode="_(&quot;R$ &quot;* #,##0.00_);_(&quot;R$ &quot;* \(#,##0.00\);_(&quot;R$ &quot;* &quot;-&quot;??_);_(@_)"/>
    <numFmt numFmtId="168" formatCode="&quot;R$&quot;\ #,##0.00"/>
    <numFmt numFmtId="169" formatCode="_-[$R$-416]\ * #,##0.00_-;\-[$R$-416]\ * #,##0.00_-;_-[$R$-416]\ * &quot;-&quot;??_-;_-@_-"/>
    <numFmt numFmtId="170" formatCode="#,##0.00;[Red]#,##0.00"/>
    <numFmt numFmtId="171" formatCode="&quot;R$&quot;\ #,##0.000000000000000;\-&quot;R$&quot;\ #,##0.000000000000000"/>
    <numFmt numFmtId="172" formatCode="0.000"/>
    <numFmt numFmtId="173" formatCode="#,##0.00_ ;[Red]\-#,##0.00\ "/>
    <numFmt numFmtId="174" formatCode="0.000%"/>
    <numFmt numFmtId="175" formatCode="&quot;R$&quot;#,##0.00_);[Red]\(&quot;R$&quot;#,##0.00\)"/>
    <numFmt numFmtId="176" formatCode="_([$€]* #,##0.00_);_([$€]* \(#,##0.00\);_([$€]* &quot;-&quot;??_);_(@_)"/>
    <numFmt numFmtId="177" formatCode="#,##0.0000"/>
    <numFmt numFmtId="178" formatCode="0.000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name val="Arial Narrow"/>
      <family val="2"/>
    </font>
    <font>
      <sz val="10"/>
      <color rgb="FF000000"/>
      <name val="Arial Narrow"/>
      <family val="2"/>
    </font>
    <font>
      <sz val="15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18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rgb="FF000000"/>
      <name val="Times New Roman"/>
      <family val="1"/>
    </font>
    <font>
      <b/>
      <sz val="9"/>
      <color rgb="FFFF0000"/>
      <name val="Arial"/>
      <family val="2"/>
    </font>
    <font>
      <sz val="11"/>
      <color theme="1"/>
      <name val="Arial"/>
      <family val="2"/>
    </font>
    <font>
      <sz val="16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indexed="23"/>
        <bgColor indexed="55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4" tint="0.59999389629810485"/>
        <bgColor indexed="22"/>
      </patternFill>
    </fill>
  </fills>
  <borders count="1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</borders>
  <cellStyleXfs count="26">
    <xf numFmtId="0" fontId="0" fillId="0" borderId="0"/>
    <xf numFmtId="16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10" fillId="0" borderId="0"/>
    <xf numFmtId="0" fontId="1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76" fontId="2" fillId="0" borderId="0"/>
    <xf numFmtId="176" fontId="2" fillId="0" borderId="0"/>
    <xf numFmtId="176" fontId="2" fillId="0" borderId="0"/>
    <xf numFmtId="0" fontId="34" fillId="0" borderId="0"/>
    <xf numFmtId="44" fontId="2" fillId="0" borderId="0" applyFont="0" applyFill="0" applyBorder="0" applyAlignment="0" applyProtection="0"/>
    <xf numFmtId="0" fontId="2" fillId="0" borderId="0"/>
  </cellStyleXfs>
  <cellXfs count="2054">
    <xf numFmtId="0" fontId="0" fillId="0" borderId="0" xfId="0"/>
    <xf numFmtId="0" fontId="3" fillId="0" borderId="0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3" fillId="0" borderId="0" xfId="1" applyFont="1" applyFill="1" applyBorder="1" applyAlignment="1">
      <alignment horizontal="center" vertical="center" wrapText="1"/>
    </xf>
    <xf numFmtId="164" fontId="3" fillId="0" borderId="0" xfId="1" applyFont="1" applyFill="1" applyBorder="1" applyAlignment="1">
      <alignment vertical="center" wrapText="1"/>
    </xf>
    <xf numFmtId="164" fontId="6" fillId="0" borderId="4" xfId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0" fillId="8" borderId="0" xfId="0" applyFill="1"/>
    <xf numFmtId="166" fontId="0" fillId="0" borderId="0" xfId="0" applyNumberFormat="1"/>
    <xf numFmtId="40" fontId="3" fillId="8" borderId="0" xfId="0" applyNumberFormat="1" applyFont="1" applyFill="1" applyAlignment="1">
      <alignment horizontal="left" vertical="center"/>
    </xf>
    <xf numFmtId="40" fontId="3" fillId="8" borderId="0" xfId="0" applyNumberFormat="1" applyFont="1" applyFill="1" applyAlignment="1">
      <alignment vertic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center"/>
    </xf>
    <xf numFmtId="40" fontId="0" fillId="8" borderId="0" xfId="0" applyNumberFormat="1" applyFill="1" applyAlignment="1">
      <alignment horizontal="center"/>
    </xf>
    <xf numFmtId="40" fontId="0" fillId="8" borderId="0" xfId="0" applyNumberFormat="1" applyFont="1" applyFill="1" applyAlignment="1">
      <alignment horizontal="center"/>
    </xf>
    <xf numFmtId="40" fontId="9" fillId="8" borderId="0" xfId="0" applyNumberFormat="1" applyFont="1" applyFill="1" applyAlignment="1">
      <alignment horizontal="left"/>
    </xf>
    <xf numFmtId="40" fontId="0" fillId="13" borderId="0" xfId="0" applyNumberFormat="1" applyFont="1" applyFill="1" applyBorder="1" applyAlignment="1">
      <alignment horizontal="center"/>
    </xf>
    <xf numFmtId="40" fontId="0" fillId="13" borderId="0" xfId="0" applyNumberFormat="1" applyFill="1" applyBorder="1" applyAlignment="1">
      <alignment horizontal="center"/>
    </xf>
    <xf numFmtId="40" fontId="0" fillId="9" borderId="0" xfId="0" applyNumberFormat="1" applyFill="1" applyBorder="1" applyAlignment="1">
      <alignment horizontal="center"/>
    </xf>
    <xf numFmtId="40" fontId="0" fillId="8" borderId="0" xfId="0" applyNumberFormat="1" applyFill="1" applyAlignment="1">
      <alignment horizontal="center"/>
    </xf>
    <xf numFmtId="0" fontId="3" fillId="0" borderId="0" xfId="0" applyFont="1" applyFill="1" applyAlignment="1">
      <alignment vertical="center"/>
    </xf>
    <xf numFmtId="0" fontId="3" fillId="8" borderId="0" xfId="0" applyFont="1" applyFill="1"/>
    <xf numFmtId="0" fontId="0" fillId="8" borderId="0" xfId="0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40" fontId="2" fillId="8" borderId="0" xfId="0" applyNumberFormat="1" applyFont="1" applyFill="1" applyAlignment="1">
      <alignment horizontal="center" wrapText="1"/>
    </xf>
    <xf numFmtId="40" fontId="0" fillId="9" borderId="0" xfId="0" applyNumberFormat="1" applyFill="1" applyAlignment="1">
      <alignment horizontal="center"/>
    </xf>
    <xf numFmtId="0" fontId="2" fillId="0" borderId="0" xfId="0" applyFont="1"/>
    <xf numFmtId="0" fontId="2" fillId="8" borderId="0" xfId="0" applyFont="1" applyFill="1"/>
    <xf numFmtId="0" fontId="2" fillId="0" borderId="0" xfId="0" applyFont="1" applyAlignment="1">
      <alignment horizont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2" fontId="0" fillId="8" borderId="0" xfId="0" applyNumberFormat="1" applyFill="1"/>
    <xf numFmtId="40" fontId="0" fillId="8" borderId="0" xfId="0" applyNumberFormat="1" applyFill="1" applyAlignment="1">
      <alignment horizont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Border="1" applyAlignment="1">
      <alignment horizontal="center" vertical="top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center"/>
    </xf>
    <xf numFmtId="0" fontId="6" fillId="3" borderId="4" xfId="0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vertical="center"/>
    </xf>
    <xf numFmtId="2" fontId="0" fillId="8" borderId="0" xfId="0" applyNumberFormat="1" applyFill="1" applyAlignment="1">
      <alignment horizont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0" fontId="0" fillId="8" borderId="0" xfId="0" applyFill="1" applyBorder="1"/>
    <xf numFmtId="0" fontId="2" fillId="3" borderId="4" xfId="5" applyFont="1" applyFill="1" applyBorder="1" applyAlignment="1">
      <alignment horizontal="center" vertical="center"/>
    </xf>
    <xf numFmtId="40" fontId="3" fillId="8" borderId="0" xfId="0" applyNumberFormat="1" applyFont="1" applyFill="1" applyBorder="1" applyAlignment="1">
      <alignment horizontal="center" vertical="top" wrapText="1"/>
    </xf>
    <xf numFmtId="40" fontId="0" fillId="8" borderId="0" xfId="0" applyNumberFormat="1" applyFill="1" applyAlignment="1">
      <alignment horizontal="center"/>
    </xf>
    <xf numFmtId="0" fontId="2" fillId="8" borderId="0" xfId="0" applyFont="1" applyFill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4" fontId="2" fillId="3" borderId="4" xfId="5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2" fontId="2" fillId="3" borderId="4" xfId="5" applyNumberFormat="1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0" fontId="2" fillId="8" borderId="0" xfId="0" applyFont="1" applyFill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0" fontId="0" fillId="0" borderId="0" xfId="0" applyAlignment="1"/>
    <xf numFmtId="40" fontId="3" fillId="8" borderId="0" xfId="0" applyNumberFormat="1" applyFont="1" applyFill="1" applyBorder="1" applyAlignment="1">
      <alignment horizontal="center" vertical="top"/>
    </xf>
    <xf numFmtId="0" fontId="0" fillId="8" borderId="0" xfId="0" applyFill="1" applyAlignment="1"/>
    <xf numFmtId="0" fontId="2" fillId="8" borderId="0" xfId="0" applyFont="1" applyFill="1" applyAlignme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1" applyFont="1" applyAlignment="1">
      <alignment horizontal="center" vertical="center" wrapText="1"/>
    </xf>
    <xf numFmtId="164" fontId="6" fillId="0" borderId="0" xfId="1" applyFont="1" applyAlignment="1">
      <alignment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164" fontId="3" fillId="4" borderId="3" xfId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164" fontId="3" fillId="4" borderId="16" xfId="1" applyFont="1" applyFill="1" applyBorder="1" applyAlignment="1">
      <alignment horizontal="center" vertical="center" wrapText="1"/>
    </xf>
    <xf numFmtId="43" fontId="6" fillId="0" borderId="0" xfId="0" applyNumberFormat="1" applyFont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10" fontId="6" fillId="4" borderId="1" xfId="2" applyNumberFormat="1" applyFont="1" applyFill="1" applyBorder="1" applyAlignment="1">
      <alignment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left" vertical="center" wrapText="1"/>
    </xf>
    <xf numFmtId="0" fontId="3" fillId="3" borderId="0" xfId="0" applyFont="1" applyFill="1" applyBorder="1" applyAlignment="1">
      <alignment horizontal="left" vertical="center" wrapText="1"/>
    </xf>
    <xf numFmtId="164" fontId="3" fillId="3" borderId="0" xfId="1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64" fontId="6" fillId="0" borderId="12" xfId="1" applyFont="1" applyBorder="1" applyAlignment="1">
      <alignment vertical="center" wrapText="1"/>
    </xf>
    <xf numFmtId="164" fontId="6" fillId="3" borderId="4" xfId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164" fontId="6" fillId="3" borderId="12" xfId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64" fontId="6" fillId="0" borderId="0" xfId="1" applyFont="1" applyFill="1" applyAlignment="1">
      <alignment horizontal="center" vertical="center" wrapText="1"/>
    </xf>
    <xf numFmtId="164" fontId="6" fillId="0" borderId="0" xfId="1" applyFont="1" applyFill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40" fontId="2" fillId="9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wrapText="1"/>
    </xf>
    <xf numFmtId="40" fontId="0" fillId="13" borderId="14" xfId="0" applyNumberFormat="1" applyFill="1" applyBorder="1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75" xfId="0" applyBorder="1"/>
    <xf numFmtId="0" fontId="0" fillId="0" borderId="76" xfId="0" applyFont="1" applyBorder="1"/>
    <xf numFmtId="0" fontId="2" fillId="0" borderId="22" xfId="0" applyFont="1" applyBorder="1"/>
    <xf numFmtId="0" fontId="0" fillId="0" borderId="25" xfId="0" applyFont="1" applyBorder="1"/>
    <xf numFmtId="0" fontId="4" fillId="0" borderId="0" xfId="0" applyFont="1" applyBorder="1"/>
    <xf numFmtId="168" fontId="6" fillId="0" borderId="4" xfId="1" applyNumberFormat="1" applyFont="1" applyFill="1" applyBorder="1" applyAlignment="1">
      <alignment horizontal="right" vertical="center" wrapText="1"/>
    </xf>
    <xf numFmtId="168" fontId="6" fillId="0" borderId="12" xfId="1" applyNumberFormat="1" applyFont="1" applyFill="1" applyBorder="1" applyAlignment="1">
      <alignment horizontal="right" vertical="center" wrapText="1"/>
    </xf>
    <xf numFmtId="168" fontId="3" fillId="0" borderId="4" xfId="1" applyNumberFormat="1" applyFont="1" applyFill="1" applyBorder="1" applyAlignment="1">
      <alignment vertical="center" wrapText="1"/>
    </xf>
    <xf numFmtId="168" fontId="3" fillId="0" borderId="4" xfId="0" applyNumberFormat="1" applyFont="1" applyBorder="1" applyAlignment="1">
      <alignment horizontal="right" vertical="center" wrapText="1"/>
    </xf>
    <xf numFmtId="168" fontId="3" fillId="0" borderId="4" xfId="1" applyNumberFormat="1" applyFont="1" applyFill="1" applyBorder="1" applyAlignment="1">
      <alignment horizontal="right" vertical="center" wrapText="1"/>
    </xf>
    <xf numFmtId="0" fontId="0" fillId="0" borderId="1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5" xfId="0" applyBorder="1" applyAlignment="1">
      <alignment horizontal="center"/>
    </xf>
    <xf numFmtId="169" fontId="14" fillId="3" borderId="0" xfId="0" applyNumberFormat="1" applyFont="1" applyFill="1" applyBorder="1" applyAlignment="1" applyProtection="1">
      <alignment vertical="center" wrapText="1"/>
    </xf>
    <xf numFmtId="2" fontId="15" fillId="0" borderId="12" xfId="13" applyNumberFormat="1" applyFont="1" applyBorder="1" applyAlignment="1">
      <alignment vertical="center"/>
    </xf>
    <xf numFmtId="2" fontId="15" fillId="0" borderId="17" xfId="13" applyNumberFormat="1" applyFont="1" applyBorder="1" applyAlignment="1">
      <alignment vertical="center"/>
    </xf>
    <xf numFmtId="2" fontId="16" fillId="0" borderId="12" xfId="8" applyNumberFormat="1" applyFont="1" applyFill="1" applyBorder="1" applyAlignment="1" applyProtection="1">
      <alignment horizontal="center" vertical="center"/>
    </xf>
    <xf numFmtId="2" fontId="15" fillId="0" borderId="4" xfId="13" applyNumberFormat="1" applyFont="1" applyBorder="1" applyAlignment="1">
      <alignment vertical="center"/>
    </xf>
    <xf numFmtId="2" fontId="15" fillId="0" borderId="13" xfId="13" applyNumberFormat="1" applyFont="1" applyBorder="1" applyAlignment="1">
      <alignment vertical="center"/>
    </xf>
    <xf numFmtId="2" fontId="16" fillId="0" borderId="4" xfId="8" applyNumberFormat="1" applyFont="1" applyFill="1" applyBorder="1" applyAlignment="1" applyProtection="1">
      <alignment horizontal="center" vertical="center"/>
    </xf>
    <xf numFmtId="2" fontId="15" fillId="0" borderId="4" xfId="13" applyNumberFormat="1" applyFont="1" applyBorder="1" applyAlignment="1">
      <alignment horizontal="center" vertical="center"/>
    </xf>
    <xf numFmtId="2" fontId="16" fillId="0" borderId="4" xfId="8" applyNumberFormat="1" applyFont="1" applyFill="1" applyBorder="1" applyAlignment="1" applyProtection="1">
      <alignment horizontal="right" vertical="center"/>
    </xf>
    <xf numFmtId="2" fontId="16" fillId="0" borderId="13" xfId="8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right"/>
    </xf>
    <xf numFmtId="10" fontId="0" fillId="0" borderId="0" xfId="0" applyNumberFormat="1"/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10" fontId="0" fillId="4" borderId="66" xfId="0" applyNumberFormat="1" applyFill="1" applyBorder="1" applyAlignment="1">
      <alignment vertical="center" wrapText="1"/>
    </xf>
    <xf numFmtId="10" fontId="2" fillId="3" borderId="77" xfId="0" applyNumberFormat="1" applyFont="1" applyFill="1" applyBorder="1" applyAlignment="1">
      <alignment horizontal="center" vertical="center"/>
    </xf>
    <xf numFmtId="8" fontId="3" fillId="4" borderId="4" xfId="5" applyNumberFormat="1" applyFont="1" applyFill="1" applyBorder="1" applyAlignment="1">
      <alignment horizontal="center" vertical="center"/>
    </xf>
    <xf numFmtId="168" fontId="2" fillId="0" borderId="4" xfId="1" applyNumberFormat="1" applyFont="1" applyFill="1" applyBorder="1" applyAlignment="1">
      <alignment horizontal="right" vertical="center" wrapText="1"/>
    </xf>
    <xf numFmtId="40" fontId="3" fillId="8" borderId="0" xfId="0" applyNumberFormat="1" applyFont="1" applyFill="1" applyBorder="1" applyAlignment="1">
      <alignment vertical="center"/>
    </xf>
    <xf numFmtId="168" fontId="6" fillId="0" borderId="0" xfId="0" applyNumberFormat="1" applyFont="1" applyFill="1" applyAlignment="1">
      <alignment vertical="center" wrapText="1"/>
    </xf>
    <xf numFmtId="40" fontId="0" fillId="8" borderId="0" xfId="0" applyNumberFormat="1" applyFill="1" applyAlignment="1">
      <alignment horizontal="center"/>
    </xf>
    <xf numFmtId="0" fontId="2" fillId="0" borderId="0" xfId="0" applyFont="1" applyAlignment="1">
      <alignment vertical="center" wrapText="1"/>
    </xf>
    <xf numFmtId="40" fontId="0" fillId="15" borderId="67" xfId="0" applyNumberFormat="1" applyFont="1" applyFill="1" applyBorder="1" applyAlignment="1">
      <alignment horizontal="center"/>
    </xf>
    <xf numFmtId="40" fontId="0" fillId="15" borderId="56" xfId="0" applyNumberFormat="1" applyFill="1" applyBorder="1" applyAlignment="1">
      <alignment horizontal="center"/>
    </xf>
    <xf numFmtId="40" fontId="0" fillId="15" borderId="68" xfId="0" applyNumberFormat="1" applyFont="1" applyFill="1" applyBorder="1" applyAlignment="1">
      <alignment horizontal="center"/>
    </xf>
    <xf numFmtId="40" fontId="0" fillId="15" borderId="13" xfId="0" applyNumberFormat="1" applyFont="1" applyFill="1" applyBorder="1" applyAlignment="1">
      <alignment horizontal="center"/>
    </xf>
    <xf numFmtId="40" fontId="0" fillId="15" borderId="14" xfId="0" applyNumberFormat="1" applyFill="1" applyBorder="1" applyAlignment="1">
      <alignment horizontal="center"/>
    </xf>
    <xf numFmtId="40" fontId="2" fillId="15" borderId="15" xfId="0" applyNumberFormat="1" applyFont="1" applyFill="1" applyBorder="1" applyAlignment="1">
      <alignment horizontal="center"/>
    </xf>
    <xf numFmtId="40" fontId="2" fillId="15" borderId="68" xfId="0" applyNumberFormat="1" applyFont="1" applyFill="1" applyBorder="1" applyAlignment="1">
      <alignment horizont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0" fontId="2" fillId="8" borderId="0" xfId="0" applyFont="1" applyFill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38" fontId="3" fillId="8" borderId="0" xfId="0" applyNumberFormat="1" applyFont="1" applyFill="1" applyAlignment="1">
      <alignment horizontal="left"/>
    </xf>
    <xf numFmtId="0" fontId="2" fillId="0" borderId="4" xfId="0" applyFont="1" applyBorder="1"/>
    <xf numFmtId="10" fontId="0" fillId="0" borderId="4" xfId="0" applyNumberFormat="1" applyBorder="1"/>
    <xf numFmtId="10" fontId="2" fillId="0" borderId="4" xfId="0" applyNumberFormat="1" applyFont="1" applyBorder="1"/>
    <xf numFmtId="0" fontId="3" fillId="2" borderId="4" xfId="0" applyFont="1" applyFill="1" applyBorder="1" applyAlignment="1">
      <alignment horizontal="center"/>
    </xf>
    <xf numFmtId="10" fontId="3" fillId="2" borderId="4" xfId="0" applyNumberFormat="1" applyFont="1" applyFill="1" applyBorder="1"/>
    <xf numFmtId="10" fontId="2" fillId="0" borderId="4" xfId="0" applyNumberFormat="1" applyFont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10" fontId="0" fillId="2" borderId="20" xfId="0" applyNumberFormat="1" applyFill="1" applyBorder="1"/>
    <xf numFmtId="0" fontId="2" fillId="0" borderId="12" xfId="0" applyFont="1" applyBorder="1"/>
    <xf numFmtId="10" fontId="0" fillId="0" borderId="12" xfId="0" applyNumberFormat="1" applyBorder="1"/>
    <xf numFmtId="0" fontId="2" fillId="0" borderId="4" xfId="0" applyFont="1" applyBorder="1" applyAlignment="1">
      <alignment wrapText="1"/>
    </xf>
    <xf numFmtId="10" fontId="0" fillId="0" borderId="4" xfId="0" applyNumberFormat="1" applyBorder="1" applyAlignment="1">
      <alignment vertical="center"/>
    </xf>
    <xf numFmtId="10" fontId="0" fillId="2" borderId="4" xfId="0" applyNumberFormat="1" applyFill="1" applyBorder="1"/>
    <xf numFmtId="168" fontId="0" fillId="0" borderId="0" xfId="0" applyNumberFormat="1" applyAlignment="1">
      <alignment vertical="center" wrapText="1"/>
    </xf>
    <xf numFmtId="10" fontId="0" fillId="0" borderId="0" xfId="0" applyNumberFormat="1" applyAlignment="1">
      <alignment vertical="center" wrapText="1"/>
    </xf>
    <xf numFmtId="0" fontId="0" fillId="0" borderId="8" xfId="0" applyBorder="1"/>
    <xf numFmtId="40" fontId="0" fillId="8" borderId="0" xfId="0" applyNumberForma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0" fontId="2" fillId="0" borderId="83" xfId="0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/>
    </xf>
    <xf numFmtId="10" fontId="0" fillId="0" borderId="83" xfId="0" applyNumberFormat="1" applyBorder="1"/>
    <xf numFmtId="0" fontId="2" fillId="0" borderId="0" xfId="0" applyFont="1" applyBorder="1"/>
    <xf numFmtId="10" fontId="2" fillId="0" borderId="83" xfId="0" applyNumberFormat="1" applyFont="1" applyBorder="1"/>
    <xf numFmtId="0" fontId="3" fillId="2" borderId="86" xfId="0" applyFont="1" applyFill="1" applyBorder="1" applyAlignment="1">
      <alignment horizontal="center"/>
    </xf>
    <xf numFmtId="10" fontId="3" fillId="2" borderId="83" xfId="0" applyNumberFormat="1" applyFont="1" applyFill="1" applyBorder="1"/>
    <xf numFmtId="10" fontId="2" fillId="0" borderId="83" xfId="0" applyNumberFormat="1" applyFont="1" applyBorder="1" applyAlignment="1">
      <alignment horizontal="center"/>
    </xf>
    <xf numFmtId="0" fontId="3" fillId="2" borderId="90" xfId="0" applyFont="1" applyFill="1" applyBorder="1" applyAlignment="1">
      <alignment horizontal="center"/>
    </xf>
    <xf numFmtId="10" fontId="0" fillId="2" borderId="91" xfId="0" applyNumberFormat="1" applyFill="1" applyBorder="1"/>
    <xf numFmtId="0" fontId="2" fillId="0" borderId="92" xfId="0" applyFont="1" applyBorder="1" applyAlignment="1">
      <alignment horizontal="center"/>
    </xf>
    <xf numFmtId="10" fontId="0" fillId="0" borderId="89" xfId="0" applyNumberFormat="1" applyBorder="1"/>
    <xf numFmtId="10" fontId="0" fillId="0" borderId="83" xfId="0" applyNumberFormat="1" applyBorder="1" applyAlignment="1">
      <alignment vertical="center"/>
    </xf>
    <xf numFmtId="10" fontId="0" fillId="2" borderId="83" xfId="0" applyNumberFormat="1" applyFill="1" applyBorder="1"/>
    <xf numFmtId="10" fontId="0" fillId="16" borderId="94" xfId="0" applyNumberFormat="1" applyFill="1" applyBorder="1"/>
    <xf numFmtId="10" fontId="0" fillId="16" borderId="95" xfId="0" applyNumberFormat="1" applyFill="1" applyBorder="1"/>
    <xf numFmtId="170" fontId="0" fillId="0" borderId="0" xfId="0" applyNumberFormat="1"/>
    <xf numFmtId="0" fontId="17" fillId="6" borderId="24" xfId="0" applyFont="1" applyFill="1" applyBorder="1" applyAlignment="1">
      <alignment vertical="center"/>
    </xf>
    <xf numFmtId="0" fontId="17" fillId="6" borderId="26" xfId="0" applyFont="1" applyFill="1" applyBorder="1" applyAlignment="1">
      <alignment vertical="center"/>
    </xf>
    <xf numFmtId="0" fontId="17" fillId="7" borderId="32" xfId="0" applyFont="1" applyFill="1" applyBorder="1" applyAlignment="1">
      <alignment horizontal="center" vertical="center"/>
    </xf>
    <xf numFmtId="10" fontId="17" fillId="8" borderId="36" xfId="0" applyNumberFormat="1" applyFont="1" applyFill="1" applyBorder="1" applyAlignment="1">
      <alignment horizontal="center" vertical="center"/>
    </xf>
    <xf numFmtId="10" fontId="17" fillId="8" borderId="37" xfId="0" applyNumberFormat="1" applyFont="1" applyFill="1" applyBorder="1" applyAlignment="1">
      <alignment horizontal="center" vertical="center"/>
    </xf>
    <xf numFmtId="10" fontId="17" fillId="8" borderId="38" xfId="0" applyNumberFormat="1" applyFont="1" applyFill="1" applyBorder="1" applyAlignment="1">
      <alignment horizontal="center" vertical="center"/>
    </xf>
    <xf numFmtId="0" fontId="17" fillId="8" borderId="40" xfId="0" applyFont="1" applyFill="1" applyBorder="1" applyAlignment="1">
      <alignment vertical="center"/>
    </xf>
    <xf numFmtId="0" fontId="17" fillId="8" borderId="41" xfId="0" applyFont="1" applyFill="1" applyBorder="1" applyAlignment="1">
      <alignment vertical="center"/>
    </xf>
    <xf numFmtId="0" fontId="17" fillId="8" borderId="42" xfId="0" applyFont="1" applyFill="1" applyBorder="1" applyAlignment="1">
      <alignment vertical="center"/>
    </xf>
    <xf numFmtId="166" fontId="17" fillId="8" borderId="44" xfId="0" applyNumberFormat="1" applyFont="1" applyFill="1" applyBorder="1" applyAlignment="1">
      <alignment horizontal="center" vertical="center"/>
    </xf>
    <xf numFmtId="166" fontId="17" fillId="8" borderId="45" xfId="0" applyNumberFormat="1" applyFont="1" applyFill="1" applyBorder="1" applyAlignment="1">
      <alignment horizontal="center" vertical="center"/>
    </xf>
    <xf numFmtId="0" fontId="17" fillId="10" borderId="41" xfId="0" applyFont="1" applyFill="1" applyBorder="1" applyAlignment="1">
      <alignment vertical="center"/>
    </xf>
    <xf numFmtId="0" fontId="17" fillId="10" borderId="40" xfId="0" applyFont="1" applyFill="1" applyBorder="1" applyAlignment="1">
      <alignment vertical="center"/>
    </xf>
    <xf numFmtId="9" fontId="17" fillId="0" borderId="51" xfId="0" applyNumberFormat="1" applyFont="1" applyFill="1" applyBorder="1" applyAlignment="1">
      <alignment horizontal="center" vertical="center"/>
    </xf>
    <xf numFmtId="10" fontId="17" fillId="0" borderId="52" xfId="0" applyNumberFormat="1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vertical="center"/>
    </xf>
    <xf numFmtId="0" fontId="17" fillId="0" borderId="41" xfId="0" applyFont="1" applyFill="1" applyBorder="1" applyAlignment="1">
      <alignment vertical="center"/>
    </xf>
    <xf numFmtId="0" fontId="17" fillId="3" borderId="40" xfId="0" applyFont="1" applyFill="1" applyBorder="1" applyAlignment="1">
      <alignment vertical="center"/>
    </xf>
    <xf numFmtId="10" fontId="17" fillId="8" borderId="51" xfId="0" applyNumberFormat="1" applyFont="1" applyFill="1" applyBorder="1" applyAlignment="1">
      <alignment horizontal="center" vertical="center"/>
    </xf>
    <xf numFmtId="10" fontId="17" fillId="8" borderId="52" xfId="0" applyNumberFormat="1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vertical="center"/>
    </xf>
    <xf numFmtId="166" fontId="17" fillId="8" borderId="60" xfId="0" applyNumberFormat="1" applyFont="1" applyFill="1" applyBorder="1" applyAlignment="1">
      <alignment horizontal="center" vertical="center"/>
    </xf>
    <xf numFmtId="0" fontId="18" fillId="11" borderId="16" xfId="0" applyFont="1" applyFill="1" applyBorder="1" applyAlignment="1">
      <alignment horizontal="center" vertical="center"/>
    </xf>
    <xf numFmtId="10" fontId="17" fillId="11" borderId="61" xfId="0" applyNumberFormat="1" applyFont="1" applyFill="1" applyBorder="1" applyAlignment="1">
      <alignment horizontal="center" vertical="center"/>
    </xf>
    <xf numFmtId="10" fontId="17" fillId="11" borderId="62" xfId="0" applyNumberFormat="1" applyFont="1" applyFill="1" applyBorder="1" applyAlignment="1">
      <alignment horizontal="center" vertical="center"/>
    </xf>
    <xf numFmtId="10" fontId="17" fillId="11" borderId="3" xfId="0" applyNumberFormat="1" applyFont="1" applyFill="1" applyBorder="1" applyAlignment="1">
      <alignment horizontal="center" vertical="center"/>
    </xf>
    <xf numFmtId="166" fontId="18" fillId="11" borderId="2" xfId="0" applyNumberFormat="1" applyFont="1" applyFill="1" applyBorder="1" applyAlignment="1">
      <alignment horizontal="center" vertical="center"/>
    </xf>
    <xf numFmtId="166" fontId="17" fillId="8" borderId="0" xfId="0" applyNumberFormat="1" applyFont="1" applyFill="1" applyBorder="1" applyAlignment="1">
      <alignment vertical="center"/>
    </xf>
    <xf numFmtId="40" fontId="0" fillId="8" borderId="0" xfId="0" applyNumberFormat="1" applyFill="1" applyAlignment="1">
      <alignment horizontal="center"/>
    </xf>
    <xf numFmtId="0" fontId="0" fillId="3" borderId="18" xfId="0" applyFill="1" applyBorder="1" applyAlignment="1">
      <alignment horizontal="center" vertic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" fontId="2" fillId="3" borderId="4" xfId="0" applyNumberFormat="1" applyFont="1" applyFill="1" applyBorder="1" applyAlignment="1">
      <alignment horizontal="left" vertical="center" wrapText="1"/>
    </xf>
    <xf numFmtId="0" fontId="15" fillId="0" borderId="87" xfId="13" applyFont="1" applyBorder="1" applyAlignment="1">
      <alignment horizontal="left" vertical="center"/>
    </xf>
    <xf numFmtId="0" fontId="15" fillId="0" borderId="80" xfId="13" applyFont="1" applyBorder="1" applyAlignment="1">
      <alignment horizontal="left" vertical="center"/>
    </xf>
    <xf numFmtId="0" fontId="15" fillId="0" borderId="88" xfId="13" applyFont="1" applyBorder="1" applyAlignment="1">
      <alignment horizontal="left" vertical="center"/>
    </xf>
    <xf numFmtId="0" fontId="13" fillId="0" borderId="0" xfId="0" applyFont="1" applyBorder="1" applyAlignment="1">
      <alignment horizontal="center"/>
    </xf>
    <xf numFmtId="40" fontId="2" fillId="8" borderId="0" xfId="0" applyNumberFormat="1" applyFont="1" applyFill="1" applyAlignment="1">
      <alignment horizontal="left"/>
    </xf>
    <xf numFmtId="10" fontId="6" fillId="4" borderId="2" xfId="2" applyNumberFormat="1" applyFont="1" applyFill="1" applyBorder="1" applyAlignment="1">
      <alignment vertical="center" wrapText="1"/>
    </xf>
    <xf numFmtId="0" fontId="0" fillId="0" borderId="7" xfId="0" applyBorder="1"/>
    <xf numFmtId="0" fontId="3" fillId="0" borderId="7" xfId="0" applyFont="1" applyBorder="1" applyAlignment="1">
      <alignment horizontal="center"/>
    </xf>
    <xf numFmtId="2" fontId="0" fillId="0" borderId="8" xfId="0" applyNumberFormat="1" applyBorder="1"/>
    <xf numFmtId="0" fontId="0" fillId="0" borderId="97" xfId="0" applyBorder="1" applyAlignment="1">
      <alignment horizontal="center"/>
    </xf>
    <xf numFmtId="10" fontId="0" fillId="0" borderId="98" xfId="8" applyNumberFormat="1" applyFont="1" applyFill="1" applyBorder="1" applyAlignment="1" applyProtection="1">
      <alignment horizontal="center"/>
    </xf>
    <xf numFmtId="0" fontId="0" fillId="0" borderId="99" xfId="0" applyBorder="1" applyAlignment="1">
      <alignment horizontal="center"/>
    </xf>
    <xf numFmtId="10" fontId="0" fillId="0" borderId="100" xfId="8" applyNumberFormat="1" applyFont="1" applyFill="1" applyBorder="1" applyAlignment="1" applyProtection="1">
      <alignment horizontal="center"/>
    </xf>
    <xf numFmtId="0" fontId="0" fillId="0" borderId="99" xfId="0" applyFont="1" applyBorder="1" applyAlignment="1">
      <alignment horizontal="center"/>
    </xf>
    <xf numFmtId="10" fontId="0" fillId="0" borderId="100" xfId="0" applyNumberFormat="1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7" xfId="0" applyBorder="1" applyAlignment="1">
      <alignment horizontal="center"/>
    </xf>
    <xf numFmtId="10" fontId="0" fillId="0" borderId="8" xfId="0" applyNumberFormat="1" applyBorder="1"/>
    <xf numFmtId="10" fontId="2" fillId="0" borderId="98" xfId="8" applyNumberFormat="1" applyFont="1" applyFill="1" applyBorder="1" applyAlignment="1" applyProtection="1">
      <alignment horizontal="center"/>
    </xf>
    <xf numFmtId="10" fontId="0" fillId="0" borderId="102" xfId="8" applyNumberFormat="1" applyFont="1" applyFill="1" applyBorder="1" applyAlignment="1" applyProtection="1">
      <alignment horizontal="center"/>
    </xf>
    <xf numFmtId="0" fontId="0" fillId="0" borderId="7" xfId="0" applyFont="1" applyBorder="1"/>
    <xf numFmtId="10" fontId="3" fillId="0" borderId="8" xfId="0" applyNumberFormat="1" applyFont="1" applyBorder="1" applyAlignment="1">
      <alignment horizontal="center"/>
    </xf>
    <xf numFmtId="0" fontId="9" fillId="0" borderId="7" xfId="0" applyFont="1" applyBorder="1"/>
    <xf numFmtId="0" fontId="4" fillId="0" borderId="8" xfId="0" applyFont="1" applyBorder="1"/>
    <xf numFmtId="0" fontId="0" fillId="0" borderId="105" xfId="0" applyBorder="1"/>
    <xf numFmtId="0" fontId="0" fillId="0" borderId="106" xfId="0" applyBorder="1"/>
    <xf numFmtId="0" fontId="0" fillId="0" borderId="0" xfId="0" applyBorder="1" applyAlignment="1">
      <alignment horizontal="center"/>
    </xf>
    <xf numFmtId="10" fontId="2" fillId="3" borderId="0" xfId="0" applyNumberFormat="1" applyFont="1" applyFill="1" applyBorder="1" applyAlignment="1">
      <alignment horizontal="center" vertical="center"/>
    </xf>
    <xf numFmtId="2" fontId="15" fillId="0" borderId="0" xfId="13" applyNumberFormat="1" applyFont="1" applyBorder="1" applyAlignment="1">
      <alignment vertical="center"/>
    </xf>
    <xf numFmtId="2" fontId="16" fillId="0" borderId="0" xfId="8" applyNumberFormat="1" applyFont="1" applyFill="1" applyBorder="1" applyAlignment="1" applyProtection="1">
      <alignment horizontal="center" vertical="center"/>
    </xf>
    <xf numFmtId="2" fontId="15" fillId="0" borderId="0" xfId="13" applyNumberFormat="1" applyFont="1" applyBorder="1" applyAlignment="1">
      <alignment horizontal="center" vertical="center"/>
    </xf>
    <xf numFmtId="2" fontId="16" fillId="0" borderId="0" xfId="8" applyNumberFormat="1" applyFont="1" applyFill="1" applyBorder="1" applyAlignment="1" applyProtection="1">
      <alignment horizontal="right" vertical="center"/>
    </xf>
    <xf numFmtId="171" fontId="0" fillId="0" borderId="0" xfId="0" applyNumberFormat="1" applyAlignment="1">
      <alignment vertical="center" wrapText="1"/>
    </xf>
    <xf numFmtId="0" fontId="3" fillId="3" borderId="109" xfId="0" applyFont="1" applyFill="1" applyBorder="1" applyAlignment="1">
      <alignment horizontal="center" vertical="center"/>
    </xf>
    <xf numFmtId="0" fontId="0" fillId="3" borderId="110" xfId="0" applyFill="1" applyBorder="1" applyAlignment="1">
      <alignment horizontal="center" vertical="center"/>
    </xf>
    <xf numFmtId="0" fontId="3" fillId="4" borderId="86" xfId="5" applyFont="1" applyFill="1" applyBorder="1" applyAlignment="1">
      <alignment horizontal="center" vertical="center"/>
    </xf>
    <xf numFmtId="0" fontId="6" fillId="0" borderId="86" xfId="0" applyFont="1" applyFill="1" applyBorder="1" applyAlignment="1">
      <alignment horizontal="center" vertical="center" wrapText="1"/>
    </xf>
    <xf numFmtId="0" fontId="2" fillId="4" borderId="82" xfId="5" applyFont="1" applyFill="1" applyBorder="1" applyAlignment="1">
      <alignment horizontal="center" vertical="center"/>
    </xf>
    <xf numFmtId="0" fontId="3" fillId="4" borderId="83" xfId="5" applyFont="1" applyFill="1" applyBorder="1" applyAlignment="1">
      <alignment horizontal="right"/>
    </xf>
    <xf numFmtId="0" fontId="3" fillId="3" borderId="86" xfId="5" applyFont="1" applyFill="1" applyBorder="1" applyAlignment="1">
      <alignment horizontal="center" vertical="center"/>
    </xf>
    <xf numFmtId="0" fontId="2" fillId="3" borderId="86" xfId="5" applyFont="1" applyFill="1" applyBorder="1" applyAlignment="1">
      <alignment horizontal="center" vertical="center" wrapText="1"/>
    </xf>
    <xf numFmtId="0" fontId="2" fillId="4" borderId="86" xfId="5" applyFont="1" applyFill="1" applyBorder="1" applyAlignment="1">
      <alignment horizontal="center" vertical="center"/>
    </xf>
    <xf numFmtId="40" fontId="3" fillId="8" borderId="0" xfId="0" applyNumberFormat="1" applyFont="1" applyFill="1" applyBorder="1" applyAlignment="1">
      <alignment wrapText="1"/>
    </xf>
    <xf numFmtId="40" fontId="3" fillId="8" borderId="0" xfId="0" applyNumberFormat="1" applyFont="1" applyFill="1" applyBorder="1" applyAlignment="1">
      <alignment vertical="top" wrapText="1"/>
    </xf>
    <xf numFmtId="40" fontId="2" fillId="13" borderId="15" xfId="0" applyNumberFormat="1" applyFont="1" applyFill="1" applyBorder="1" applyAlignment="1">
      <alignment horizontal="center"/>
    </xf>
    <xf numFmtId="0" fontId="17" fillId="8" borderId="48" xfId="0" applyFont="1" applyFill="1" applyBorder="1" applyAlignment="1">
      <alignment vertical="center"/>
    </xf>
    <xf numFmtId="166" fontId="17" fillId="8" borderId="112" xfId="0" applyNumberFormat="1" applyFont="1" applyFill="1" applyBorder="1" applyAlignment="1">
      <alignment horizontal="center" vertical="center"/>
    </xf>
    <xf numFmtId="166" fontId="17" fillId="8" borderId="113" xfId="0" applyNumberFormat="1" applyFont="1" applyFill="1" applyBorder="1" applyAlignment="1">
      <alignment horizontal="center" vertical="center"/>
    </xf>
    <xf numFmtId="166" fontId="17" fillId="8" borderId="49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0" fontId="18" fillId="9" borderId="16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166" fontId="18" fillId="12" borderId="2" xfId="0" applyNumberFormat="1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0" fontId="17" fillId="8" borderId="27" xfId="0" applyFont="1" applyFill="1" applyBorder="1" applyAlignment="1">
      <alignment horizontal="center" vertical="center"/>
    </xf>
    <xf numFmtId="0" fontId="18" fillId="8" borderId="75" xfId="0" applyFont="1" applyFill="1" applyBorder="1" applyAlignment="1">
      <alignment horizontal="center" vertical="center"/>
    </xf>
    <xf numFmtId="0" fontId="17" fillId="8" borderId="16" xfId="0" applyFont="1" applyFill="1" applyBorder="1" applyAlignment="1">
      <alignment horizontal="center" vertical="center"/>
    </xf>
    <xf numFmtId="168" fontId="2" fillId="0" borderId="12" xfId="1" applyNumberFormat="1" applyFont="1" applyFill="1" applyBorder="1" applyAlignment="1">
      <alignment horizontal="right" vertical="center" wrapText="1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168" fontId="2" fillId="0" borderId="4" xfId="5" applyNumberFormat="1" applyFont="1" applyFill="1" applyBorder="1" applyAlignment="1">
      <alignment vertical="center" wrapText="1"/>
    </xf>
    <xf numFmtId="168" fontId="2" fillId="0" borderId="14" xfId="1" applyNumberFormat="1" applyFont="1" applyFill="1" applyBorder="1" applyAlignment="1">
      <alignment horizontal="right" vertical="center" wrapText="1"/>
    </xf>
    <xf numFmtId="40" fontId="2" fillId="15" borderId="67" xfId="0" applyNumberFormat="1" applyFont="1" applyFill="1" applyBorder="1" applyAlignment="1">
      <alignment horizontal="center"/>
    </xf>
    <xf numFmtId="164" fontId="2" fillId="0" borderId="4" xfId="1" applyFont="1" applyFill="1" applyBorder="1" applyAlignment="1">
      <alignment horizontal="center" vertical="center" wrapText="1"/>
    </xf>
    <xf numFmtId="168" fontId="2" fillId="0" borderId="20" xfId="1" applyNumberFormat="1" applyFont="1" applyFill="1" applyBorder="1" applyAlignment="1">
      <alignment horizontal="right" vertical="center" wrapText="1"/>
    </xf>
    <xf numFmtId="168" fontId="2" fillId="0" borderId="19" xfId="1" applyNumberFormat="1" applyFont="1" applyFill="1" applyBorder="1" applyAlignment="1">
      <alignment horizontal="right" vertical="center" wrapText="1"/>
    </xf>
    <xf numFmtId="0" fontId="0" fillId="8" borderId="0" xfId="0" applyFill="1" applyAlignment="1">
      <alignment horizontal="center"/>
    </xf>
    <xf numFmtId="0" fontId="5" fillId="4" borderId="86" xfId="12" applyFont="1" applyFill="1" applyBorder="1" applyAlignment="1">
      <alignment horizontal="left" vertical="center" wrapText="1"/>
    </xf>
    <xf numFmtId="44" fontId="5" fillId="3" borderId="14" xfId="12" applyNumberFormat="1" applyFont="1" applyFill="1" applyBorder="1" applyAlignment="1">
      <alignment vertical="center"/>
    </xf>
    <xf numFmtId="44" fontId="5" fillId="3" borderId="14" xfId="1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0" fillId="3" borderId="14" xfId="12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4" fontId="5" fillId="4" borderId="4" xfId="12" applyNumberFormat="1" applyFont="1" applyFill="1" applyBorder="1" applyAlignment="1">
      <alignment horizontal="left" vertical="center" wrapText="1"/>
    </xf>
    <xf numFmtId="0" fontId="17" fillId="2" borderId="1" xfId="0" applyFont="1" applyFill="1" applyBorder="1"/>
    <xf numFmtId="0" fontId="17" fillId="6" borderId="1" xfId="0" applyFont="1" applyFill="1" applyBorder="1" applyAlignment="1">
      <alignment vertical="center"/>
    </xf>
    <xf numFmtId="44" fontId="17" fillId="6" borderId="5" xfId="0" applyNumberFormat="1" applyFont="1" applyFill="1" applyBorder="1" applyAlignment="1">
      <alignment horizontal="left" vertical="center"/>
    </xf>
    <xf numFmtId="0" fontId="17" fillId="6" borderId="6" xfId="0" applyFont="1" applyFill="1" applyBorder="1" applyAlignment="1">
      <alignment horizontal="left" vertical="center"/>
    </xf>
    <xf numFmtId="2" fontId="0" fillId="0" borderId="0" xfId="0" applyNumberFormat="1" applyAlignment="1">
      <alignment horizontal="center"/>
    </xf>
    <xf numFmtId="40" fontId="3" fillId="8" borderId="0" xfId="0" applyNumberFormat="1" applyFont="1" applyFill="1" applyAlignment="1">
      <alignment horizontal="left"/>
    </xf>
    <xf numFmtId="10" fontId="3" fillId="0" borderId="103" xfId="8" applyNumberFormat="1" applyFont="1" applyFill="1" applyBorder="1" applyAlignment="1" applyProtection="1">
      <alignment horizontal="center"/>
    </xf>
    <xf numFmtId="0" fontId="2" fillId="18" borderId="0" xfId="0" applyFont="1" applyFill="1" applyAlignment="1">
      <alignment vertical="center"/>
    </xf>
    <xf numFmtId="0" fontId="2" fillId="18" borderId="0" xfId="0" applyFont="1" applyFill="1"/>
    <xf numFmtId="40" fontId="2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0" fillId="8" borderId="0" xfId="0" applyNumberForma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/>
    </xf>
    <xf numFmtId="40" fontId="3" fillId="8" borderId="0" xfId="0" applyNumberFormat="1" applyFont="1" applyFill="1" applyAlignment="1">
      <alignment horizontal="left"/>
    </xf>
    <xf numFmtId="164" fontId="3" fillId="0" borderId="4" xfId="1" applyFont="1" applyFill="1" applyBorder="1" applyAlignment="1">
      <alignment horizontal="center" vertical="center" wrapText="1"/>
    </xf>
    <xf numFmtId="168" fontId="2" fillId="0" borderId="18" xfId="1" applyNumberFormat="1" applyFont="1" applyFill="1" applyBorder="1" applyAlignment="1">
      <alignment horizontal="right" vertical="center" wrapText="1"/>
    </xf>
    <xf numFmtId="0" fontId="2" fillId="0" borderId="0" xfId="12"/>
    <xf numFmtId="40" fontId="2" fillId="15" borderId="68" xfId="12" applyNumberFormat="1" applyFont="1" applyFill="1" applyBorder="1" applyAlignment="1">
      <alignment horizontal="center"/>
    </xf>
    <xf numFmtId="40" fontId="2" fillId="15" borderId="56" xfId="12" applyNumberFormat="1" applyFill="1" applyBorder="1" applyAlignment="1">
      <alignment horizontal="center"/>
    </xf>
    <xf numFmtId="40" fontId="2" fillId="15" borderId="67" xfId="12" applyNumberFormat="1" applyFont="1" applyFill="1" applyBorder="1" applyAlignment="1">
      <alignment horizontal="center"/>
    </xf>
    <xf numFmtId="0" fontId="3" fillId="0" borderId="0" xfId="12" applyFont="1"/>
    <xf numFmtId="0" fontId="3" fillId="0" borderId="0" xfId="12" applyFont="1" applyAlignment="1">
      <alignment horizontal="center"/>
    </xf>
    <xf numFmtId="0" fontId="2" fillId="0" borderId="0" xfId="12" applyFont="1" applyFill="1" applyBorder="1" applyAlignment="1">
      <alignment horizontal="center" vertical="center"/>
    </xf>
    <xf numFmtId="0" fontId="3" fillId="0" borderId="0" xfId="12" applyFont="1" applyAlignment="1">
      <alignment horizontal="center" vertical="center"/>
    </xf>
    <xf numFmtId="0" fontId="3" fillId="0" borderId="0" xfId="12" applyFont="1" applyAlignment="1">
      <alignment horizontal="left"/>
    </xf>
    <xf numFmtId="40" fontId="19" fillId="2" borderId="15" xfId="3" applyNumberFormat="1" applyFont="1" applyFill="1" applyBorder="1" applyAlignment="1">
      <alignment horizontal="center"/>
    </xf>
    <xf numFmtId="40" fontId="19" fillId="2" borderId="14" xfId="3" applyNumberFormat="1" applyFont="1" applyFill="1" applyBorder="1" applyAlignment="1">
      <alignment horizontal="center"/>
    </xf>
    <xf numFmtId="40" fontId="19" fillId="2" borderId="13" xfId="3" applyNumberFormat="1" applyFont="1" applyFill="1" applyBorder="1" applyAlignment="1">
      <alignment horizontal="center"/>
    </xf>
    <xf numFmtId="40" fontId="5" fillId="3" borderId="0" xfId="3" applyNumberFormat="1" applyFont="1" applyFill="1" applyAlignment="1">
      <alignment horizontal="center"/>
    </xf>
    <xf numFmtId="0" fontId="2" fillId="3" borderId="0" xfId="12" applyFill="1"/>
    <xf numFmtId="40" fontId="5" fillId="3" borderId="0" xfId="3" applyNumberFormat="1" applyFont="1" applyFill="1"/>
    <xf numFmtId="40" fontId="21" fillId="3" borderId="0" xfId="3" applyNumberFormat="1" applyFont="1" applyFill="1"/>
    <xf numFmtId="40" fontId="3" fillId="8" borderId="0" xfId="12" applyNumberFormat="1" applyFont="1" applyFill="1" applyAlignment="1">
      <alignment horizontal="center" vertical="top" wrapText="1"/>
    </xf>
    <xf numFmtId="40" fontId="3" fillId="8" borderId="0" xfId="12" applyNumberFormat="1" applyFont="1" applyFill="1" applyAlignment="1">
      <alignment vertical="center"/>
    </xf>
    <xf numFmtId="40" fontId="3" fillId="8" borderId="0" xfId="12" applyNumberFormat="1" applyFont="1" applyFill="1" applyAlignment="1">
      <alignment horizontal="left" vertical="center"/>
    </xf>
    <xf numFmtId="0" fontId="19" fillId="0" borderId="0" xfId="12" applyFont="1"/>
    <xf numFmtId="40" fontId="5" fillId="3" borderId="0" xfId="3" applyNumberFormat="1" applyFont="1" applyFill="1" applyAlignment="1">
      <alignment vertical="center"/>
    </xf>
    <xf numFmtId="40" fontId="3" fillId="8" borderId="0" xfId="12" applyNumberFormat="1" applyFont="1" applyFill="1" applyAlignment="1">
      <alignment horizontal="center"/>
    </xf>
    <xf numFmtId="38" fontId="5" fillId="3" borderId="7" xfId="3" applyNumberFormat="1" applyFont="1" applyFill="1" applyBorder="1" applyAlignment="1">
      <alignment horizontal="center" vertical="center"/>
    </xf>
    <xf numFmtId="0" fontId="3" fillId="8" borderId="0" xfId="12" applyNumberFormat="1" applyFont="1" applyFill="1" applyAlignment="1">
      <alignment horizontal="center" vertical="top" wrapText="1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40" fontId="2" fillId="8" borderId="0" xfId="0" applyNumberFormat="1" applyFont="1" applyFill="1" applyAlignment="1">
      <alignment horizontal="center"/>
    </xf>
    <xf numFmtId="0" fontId="0" fillId="0" borderId="0" xfId="0" applyFill="1"/>
    <xf numFmtId="40" fontId="3" fillId="2" borderId="13" xfId="3" applyNumberFormat="1" applyFont="1" applyFill="1" applyBorder="1" applyAlignment="1">
      <alignment horizontal="center"/>
    </xf>
    <xf numFmtId="40" fontId="3" fillId="2" borderId="14" xfId="3" applyNumberFormat="1" applyFont="1" applyFill="1" applyBorder="1" applyAlignment="1">
      <alignment horizontal="center"/>
    </xf>
    <xf numFmtId="40" fontId="3" fillId="2" borderId="15" xfId="3" applyNumberFormat="1" applyFont="1" applyFill="1" applyBorder="1" applyAlignment="1">
      <alignment horizontal="center"/>
    </xf>
    <xf numFmtId="40" fontId="8" fillId="3" borderId="4" xfId="3" applyNumberFormat="1" applyFont="1" applyFill="1" applyBorder="1" applyAlignment="1">
      <alignment horizontal="center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left"/>
    </xf>
    <xf numFmtId="4" fontId="3" fillId="3" borderId="4" xfId="0" applyNumberFormat="1" applyFont="1" applyFill="1" applyBorder="1" applyAlignment="1">
      <alignment horizontal="center" vertical="center" wrapText="1"/>
    </xf>
    <xf numFmtId="40" fontId="8" fillId="3" borderId="15" xfId="3" applyNumberFormat="1" applyFont="1" applyFill="1" applyBorder="1" applyAlignment="1">
      <alignment horizontal="center" wrapText="1"/>
    </xf>
    <xf numFmtId="7" fontId="6" fillId="0" borderId="0" xfId="0" applyNumberFormat="1" applyFont="1" applyAlignment="1">
      <alignment vertical="center" wrapText="1"/>
    </xf>
    <xf numFmtId="40" fontId="2" fillId="8" borderId="0" xfId="0" applyNumberFormat="1" applyFont="1" applyFill="1" applyBorder="1" applyAlignment="1">
      <alignment horizontal="left"/>
    </xf>
    <xf numFmtId="40" fontId="0" fillId="8" borderId="0" xfId="0" applyNumberFormat="1" applyFill="1" applyAlignment="1">
      <alignment horizontal="center"/>
    </xf>
    <xf numFmtId="40" fontId="3" fillId="8" borderId="0" xfId="12" applyNumberFormat="1" applyFont="1" applyFill="1" applyAlignment="1">
      <alignment horizontal="center" vertical="top" wrapText="1"/>
    </xf>
    <xf numFmtId="40" fontId="19" fillId="8" borderId="0" xfId="0" applyNumberFormat="1" applyFont="1" applyFill="1" applyAlignment="1">
      <alignment horizontal="center"/>
    </xf>
    <xf numFmtId="40" fontId="5" fillId="8" borderId="0" xfId="0" applyNumberFormat="1" applyFont="1" applyFill="1" applyAlignment="1">
      <alignment horizontal="left"/>
    </xf>
    <xf numFmtId="0" fontId="19" fillId="8" borderId="0" xfId="0" applyFont="1" applyFill="1"/>
    <xf numFmtId="0" fontId="2" fillId="0" borderId="12" xfId="0" applyNumberFormat="1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horizontal="left" vertical="center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40" fontId="3" fillId="8" borderId="0" xfId="12" applyNumberFormat="1" applyFont="1" applyFill="1" applyAlignment="1">
      <alignment horizontal="center" vertical="top" wrapText="1"/>
    </xf>
    <xf numFmtId="0" fontId="2" fillId="0" borderId="4" xfId="5" applyFont="1" applyFill="1" applyBorder="1" applyAlignment="1">
      <alignment horizontal="center" vertical="center"/>
    </xf>
    <xf numFmtId="4" fontId="2" fillId="0" borderId="4" xfId="5" applyNumberFormat="1" applyFont="1" applyFill="1" applyBorder="1" applyAlignment="1">
      <alignment horizontal="center" vertical="center" wrapText="1"/>
    </xf>
    <xf numFmtId="0" fontId="3" fillId="0" borderId="14" xfId="12" applyFont="1" applyBorder="1" applyAlignment="1">
      <alignment vertical="center"/>
    </xf>
    <xf numFmtId="0" fontId="3" fillId="0" borderId="84" xfId="12" applyFont="1" applyBorder="1" applyAlignment="1">
      <alignment vertical="center"/>
    </xf>
    <xf numFmtId="0" fontId="3" fillId="3" borderId="14" xfId="12" applyFont="1" applyFill="1" applyBorder="1" applyAlignment="1">
      <alignment vertical="center"/>
    </xf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0" xfId="12" applyFont="1"/>
    <xf numFmtId="0" fontId="3" fillId="3" borderId="0" xfId="8" applyNumberFormat="1" applyFont="1" applyFill="1" applyAlignment="1">
      <alignment horizontal="center"/>
    </xf>
    <xf numFmtId="40" fontId="3" fillId="3" borderId="0" xfId="3" applyNumberFormat="1" applyFont="1" applyFill="1"/>
    <xf numFmtId="40" fontId="3" fillId="3" borderId="0" xfId="3" applyNumberFormat="1" applyFont="1" applyFill="1" applyAlignment="1">
      <alignment horizontal="center"/>
    </xf>
    <xf numFmtId="164" fontId="2" fillId="0" borderId="0" xfId="14" quotePrefix="1" applyFont="1" applyFill="1" applyBorder="1" applyAlignment="1">
      <alignment horizontal="right" vertical="center"/>
    </xf>
    <xf numFmtId="40" fontId="3" fillId="3" borderId="0" xfId="3" applyNumberFormat="1" applyFont="1" applyFill="1" applyAlignment="1">
      <alignment horizontal="center" vertical="center"/>
    </xf>
    <xf numFmtId="40" fontId="3" fillId="3" borderId="0" xfId="3" applyNumberFormat="1" applyFont="1" applyFill="1" applyAlignment="1">
      <alignment horizontal="left" vertical="center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Border="1" applyAlignment="1">
      <alignment horizontal="center" vertical="center"/>
    </xf>
    <xf numFmtId="40" fontId="3" fillId="8" borderId="0" xfId="0" applyNumberFormat="1" applyFont="1" applyFill="1" applyBorder="1" applyAlignment="1">
      <alignment horizontal="center" vertical="top" wrapText="1"/>
    </xf>
    <xf numFmtId="40" fontId="2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Alignment="1">
      <alignment horizontal="center"/>
    </xf>
    <xf numFmtId="40" fontId="2" fillId="8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40" fontId="2" fillId="8" borderId="0" xfId="0" applyNumberFormat="1" applyFont="1" applyFill="1" applyAlignment="1">
      <alignment horizontal="center" wrapText="1"/>
    </xf>
    <xf numFmtId="40" fontId="3" fillId="8" borderId="0" xfId="0" applyNumberFormat="1" applyFont="1" applyFill="1" applyAlignment="1">
      <alignment wrapText="1"/>
    </xf>
    <xf numFmtId="40" fontId="3" fillId="8" borderId="0" xfId="12" applyNumberFormat="1" applyFont="1" applyFill="1" applyAlignment="1">
      <alignment horizontal="center" vertical="top" wrapText="1"/>
    </xf>
    <xf numFmtId="0" fontId="2" fillId="0" borderId="7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5" fillId="0" borderId="0" xfId="12" applyFont="1" applyFill="1" applyBorder="1" applyAlignment="1">
      <alignment horizontal="left" vertical="center" wrapText="1"/>
    </xf>
    <xf numFmtId="0" fontId="5" fillId="0" borderId="0" xfId="12" applyNumberFormat="1" applyFont="1" applyFill="1" applyBorder="1" applyAlignment="1">
      <alignment horizontal="left" vertical="center" wrapText="1"/>
    </xf>
    <xf numFmtId="169" fontId="5" fillId="0" borderId="0" xfId="0" applyNumberFormat="1" applyFont="1" applyFill="1" applyBorder="1" applyAlignment="1" applyProtection="1">
      <alignment horizontal="center" vertical="center" wrapText="1"/>
    </xf>
    <xf numFmtId="169" fontId="5" fillId="0" borderId="0" xfId="0" applyNumberFormat="1" applyFont="1" applyFill="1" applyBorder="1" applyAlignment="1" applyProtection="1">
      <alignment horizontal="left" vertical="center" wrapText="1"/>
    </xf>
    <xf numFmtId="40" fontId="3" fillId="8" borderId="0" xfId="0" applyNumberFormat="1" applyFont="1" applyFill="1" applyBorder="1" applyAlignment="1">
      <alignment horizontal="left" wrapText="1"/>
    </xf>
    <xf numFmtId="40" fontId="2" fillId="8" borderId="0" xfId="0" applyNumberFormat="1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left" vertical="center"/>
    </xf>
    <xf numFmtId="0" fontId="3" fillId="4" borderId="1" xfId="0" applyFont="1" applyFill="1" applyBorder="1" applyAlignment="1">
      <alignment vertical="center" wrapText="1"/>
    </xf>
    <xf numFmtId="38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3" fillId="19" borderId="2" xfId="0" applyNumberFormat="1" applyFont="1" applyFill="1" applyBorder="1" applyAlignment="1">
      <alignment horizontal="center" vertical="center" wrapText="1"/>
    </xf>
    <xf numFmtId="40" fontId="3" fillId="0" borderId="0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left" vertical="center" wrapText="1"/>
    </xf>
    <xf numFmtId="40" fontId="3" fillId="19" borderId="6" xfId="0" applyNumberFormat="1" applyFont="1" applyFill="1" applyBorder="1" applyAlignment="1">
      <alignment horizontal="center" vertical="center"/>
    </xf>
    <xf numFmtId="40" fontId="3" fillId="19" borderId="11" xfId="0" applyNumberFormat="1" applyFont="1" applyFill="1" applyBorder="1" applyAlignment="1">
      <alignment horizontal="center" vertical="center"/>
    </xf>
    <xf numFmtId="40" fontId="3" fillId="19" borderId="5" xfId="0" applyNumberFormat="1" applyFont="1" applyFill="1" applyBorder="1" applyAlignment="1">
      <alignment horizontal="center" vertical="center" wrapText="1"/>
    </xf>
    <xf numFmtId="40" fontId="3" fillId="19" borderId="122" xfId="0" applyNumberFormat="1" applyFont="1" applyFill="1" applyBorder="1" applyAlignment="1">
      <alignment horizontal="center" vertical="center" wrapText="1"/>
    </xf>
    <xf numFmtId="0" fontId="3" fillId="2" borderId="122" xfId="0" applyFont="1" applyFill="1" applyBorder="1" applyAlignment="1">
      <alignment horizontal="center" vertical="center"/>
    </xf>
    <xf numFmtId="40" fontId="3" fillId="19" borderId="122" xfId="0" applyNumberFormat="1" applyFont="1" applyFill="1" applyBorder="1" applyAlignment="1">
      <alignment horizontal="left" vertical="center" wrapText="1"/>
    </xf>
    <xf numFmtId="40" fontId="3" fillId="19" borderId="9" xfId="0" applyNumberFormat="1" applyFont="1" applyFill="1" applyBorder="1" applyAlignment="1">
      <alignment horizontal="center" vertical="center" wrapText="1"/>
    </xf>
    <xf numFmtId="40" fontId="3" fillId="19" borderId="10" xfId="0" applyNumberFormat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122" xfId="0" applyFont="1" applyFill="1" applyBorder="1" applyAlignment="1">
      <alignment horizontal="center"/>
    </xf>
    <xf numFmtId="40" fontId="3" fillId="2" borderId="9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0" fontId="3" fillId="2" borderId="10" xfId="0" applyNumberFormat="1" applyFont="1" applyFill="1" applyBorder="1" applyAlignment="1">
      <alignment horizontal="center"/>
    </xf>
    <xf numFmtId="173" fontId="3" fillId="2" borderId="10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40" fontId="3" fillId="2" borderId="3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5" xfId="12" applyFont="1" applyFill="1" applyBorder="1" applyAlignment="1">
      <alignment horizontal="center"/>
    </xf>
    <xf numFmtId="0" fontId="3" fillId="2" borderId="9" xfId="12" applyFont="1" applyFill="1" applyBorder="1" applyAlignment="1">
      <alignment horizontal="center"/>
    </xf>
    <xf numFmtId="40" fontId="3" fillId="2" borderId="10" xfId="12" applyNumberFormat="1" applyFont="1" applyFill="1" applyBorder="1" applyAlignment="1">
      <alignment horizontal="center"/>
    </xf>
    <xf numFmtId="40" fontId="3" fillId="2" borderId="11" xfId="12" applyNumberFormat="1" applyFont="1" applyFill="1" applyBorder="1" applyAlignment="1">
      <alignment horizontal="center"/>
    </xf>
    <xf numFmtId="40" fontId="3" fillId="0" borderId="0" xfId="0" applyNumberFormat="1" applyFont="1" applyFill="1" applyAlignment="1">
      <alignment horizontal="center" vertical="center"/>
    </xf>
    <xf numFmtId="2" fontId="2" fillId="8" borderId="96" xfId="0" applyNumberFormat="1" applyFont="1" applyFill="1" applyBorder="1" applyAlignment="1">
      <alignment horizontal="center"/>
    </xf>
    <xf numFmtId="2" fontId="2" fillId="8" borderId="94" xfId="0" applyNumberFormat="1" applyFont="1" applyFill="1" applyBorder="1" applyAlignment="1">
      <alignment horizontal="center"/>
    </xf>
    <xf numFmtId="2" fontId="2" fillId="8" borderId="95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3" fillId="2" borderId="11" xfId="0" applyNumberFormat="1" applyFont="1" applyFill="1" applyBorder="1" applyAlignment="1">
      <alignment horizontal="center"/>
    </xf>
    <xf numFmtId="40" fontId="2" fillId="8" borderId="11" xfId="0" applyNumberFormat="1" applyFont="1" applyFill="1" applyBorder="1" applyAlignment="1">
      <alignment horizontal="center" vertical="center" wrapText="1"/>
    </xf>
    <xf numFmtId="38" fontId="3" fillId="8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3" fillId="8" borderId="0" xfId="0" applyNumberFormat="1" applyFont="1" applyFill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 wrapText="1"/>
    </xf>
    <xf numFmtId="40" fontId="3" fillId="8" borderId="1" xfId="0" applyNumberFormat="1" applyFont="1" applyFill="1" applyBorder="1" applyAlignment="1">
      <alignment horizontal="center" vertical="center" wrapText="1"/>
    </xf>
    <xf numFmtId="0" fontId="5" fillId="4" borderId="86" xfId="12" applyFont="1" applyFill="1" applyBorder="1" applyAlignment="1">
      <alignment horizontal="center" vertical="center" wrapText="1"/>
    </xf>
    <xf numFmtId="4" fontId="5" fillId="4" borderId="4" xfId="12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2" borderId="5" xfId="0" applyFont="1" applyFill="1" applyBorder="1" applyAlignment="1">
      <alignment horizontal="center"/>
    </xf>
    <xf numFmtId="0" fontId="5" fillId="2" borderId="122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2" fontId="5" fillId="2" borderId="11" xfId="0" applyNumberFormat="1" applyFont="1" applyFill="1" applyBorder="1" applyAlignment="1">
      <alignment horizontal="center"/>
    </xf>
    <xf numFmtId="0" fontId="12" fillId="0" borderId="0" xfId="0" applyFont="1"/>
    <xf numFmtId="40" fontId="3" fillId="20" borderId="2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40" fontId="25" fillId="0" borderId="0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40" fontId="2" fillId="0" borderId="4" xfId="0" applyNumberFormat="1" applyFont="1" applyFill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2" fillId="0" borderId="0" xfId="0" applyNumberFormat="1" applyFont="1" applyFill="1" applyBorder="1"/>
    <xf numFmtId="0" fontId="3" fillId="20" borderId="114" xfId="0" applyFont="1" applyFill="1" applyBorder="1" applyAlignment="1">
      <alignment horizontal="center" vertical="center"/>
    </xf>
    <xf numFmtId="0" fontId="3" fillId="20" borderId="115" xfId="0" applyFont="1" applyFill="1" applyBorder="1" applyAlignment="1">
      <alignment horizontal="center" vertical="center" wrapText="1"/>
    </xf>
    <xf numFmtId="0" fontId="3" fillId="20" borderId="115" xfId="0" applyFont="1" applyFill="1" applyBorder="1" applyAlignment="1">
      <alignment horizontal="center" vertical="center"/>
    </xf>
    <xf numFmtId="0" fontId="3" fillId="20" borderId="96" xfId="0" applyFont="1" applyFill="1" applyBorder="1" applyAlignment="1">
      <alignment horizontal="center" vertical="center" wrapText="1"/>
    </xf>
    <xf numFmtId="40" fontId="3" fillId="20" borderId="94" xfId="0" applyNumberFormat="1" applyFont="1" applyFill="1" applyBorder="1" applyAlignment="1">
      <alignment horizontal="center" vertical="center"/>
    </xf>
    <xf numFmtId="0" fontId="3" fillId="20" borderId="94" xfId="0" applyFont="1" applyFill="1" applyBorder="1" applyAlignment="1">
      <alignment horizontal="center" vertical="center"/>
    </xf>
    <xf numFmtId="173" fontId="3" fillId="20" borderId="94" xfId="0" applyNumberFormat="1" applyFont="1" applyFill="1" applyBorder="1" applyAlignment="1">
      <alignment horizontal="center" vertical="center"/>
    </xf>
    <xf numFmtId="0" fontId="3" fillId="20" borderId="95" xfId="0" applyFont="1" applyFill="1" applyBorder="1" applyAlignment="1">
      <alignment horizontal="center" vertical="center"/>
    </xf>
    <xf numFmtId="0" fontId="12" fillId="0" borderId="0" xfId="0" applyFont="1" applyFill="1"/>
    <xf numFmtId="2" fontId="2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4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3" fontId="3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2" fillId="8" borderId="0" xfId="0" applyNumberFormat="1" applyFont="1" applyFill="1" applyAlignment="1">
      <alignment horizontal="center"/>
    </xf>
    <xf numFmtId="40" fontId="2" fillId="8" borderId="0" xfId="0" applyNumberFormat="1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0" fontId="3" fillId="8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3" fillId="8" borderId="2" xfId="0" applyNumberFormat="1" applyFont="1" applyFill="1" applyBorder="1" applyAlignment="1">
      <alignment horizontal="center" vertical="center" wrapText="1"/>
    </xf>
    <xf numFmtId="0" fontId="3" fillId="20" borderId="11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 vertical="center" wrapText="1"/>
    </xf>
    <xf numFmtId="40" fontId="3" fillId="19" borderId="2" xfId="0" applyNumberFormat="1" applyFont="1" applyFill="1" applyBorder="1" applyAlignment="1">
      <alignment horizontal="center" vertical="center" wrapText="1"/>
    </xf>
    <xf numFmtId="40" fontId="2" fillId="8" borderId="16" xfId="0" applyNumberFormat="1" applyFont="1" applyFill="1" applyBorder="1" applyAlignment="1">
      <alignment horizontal="center" vertical="center" wrapText="1"/>
    </xf>
    <xf numFmtId="40" fontId="2" fillId="8" borderId="2" xfId="0" applyNumberFormat="1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40" fontId="2" fillId="8" borderId="4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40" fontId="2" fillId="8" borderId="0" xfId="0" applyNumberFormat="1" applyFont="1" applyFill="1" applyBorder="1" applyAlignment="1">
      <alignment horizontal="left" wrapText="1"/>
    </xf>
    <xf numFmtId="2" fontId="0" fillId="0" borderId="0" xfId="0" applyNumberFormat="1" applyBorder="1" applyAlignment="1">
      <alignment horizontal="center"/>
    </xf>
    <xf numFmtId="10" fontId="6" fillId="0" borderId="0" xfId="2" applyNumberFormat="1" applyFont="1" applyFill="1" applyBorder="1" applyAlignment="1">
      <alignment vertical="center" wrapText="1"/>
    </xf>
    <xf numFmtId="40" fontId="2" fillId="8" borderId="0" xfId="0" applyNumberFormat="1" applyFont="1" applyFill="1" applyAlignment="1">
      <alignment vertical="center" wrapText="1"/>
    </xf>
    <xf numFmtId="2" fontId="0" fillId="0" borderId="0" xfId="0" applyNumberFormat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/>
    </xf>
    <xf numFmtId="40" fontId="2" fillId="8" borderId="7" xfId="0" applyNumberFormat="1" applyFont="1" applyFill="1" applyBorder="1" applyAlignment="1">
      <alignment horizontal="center" vertical="center" wrapText="1"/>
    </xf>
    <xf numFmtId="40" fontId="2" fillId="8" borderId="8" xfId="0" applyNumberFormat="1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/>
    </xf>
    <xf numFmtId="164" fontId="3" fillId="0" borderId="18" xfId="1" applyFont="1" applyFill="1" applyBorder="1" applyAlignment="1">
      <alignment horizontal="center" vertical="center" wrapText="1"/>
    </xf>
    <xf numFmtId="40" fontId="3" fillId="8" borderId="0" xfId="12" applyNumberFormat="1" applyFont="1" applyFill="1" applyAlignment="1">
      <alignment horizontal="center" vertical="center" wrapText="1"/>
    </xf>
    <xf numFmtId="2" fontId="2" fillId="3" borderId="4" xfId="5" applyNumberFormat="1" applyFont="1" applyFill="1" applyBorder="1" applyAlignment="1">
      <alignment horizontal="center" vertical="center"/>
    </xf>
    <xf numFmtId="0" fontId="2" fillId="4" borderId="82" xfId="5" applyFill="1" applyBorder="1" applyAlignment="1">
      <alignment horizontal="center" vertical="center"/>
    </xf>
    <xf numFmtId="0" fontId="2" fillId="3" borderId="86" xfId="5" applyFill="1" applyBorder="1" applyAlignment="1">
      <alignment horizontal="center" vertical="center" wrapText="1"/>
    </xf>
    <xf numFmtId="0" fontId="2" fillId="3" borderId="4" xfId="5" applyFill="1" applyBorder="1" applyAlignment="1">
      <alignment horizontal="center" vertical="center"/>
    </xf>
    <xf numFmtId="2" fontId="2" fillId="3" borderId="4" xfId="5" applyNumberFormat="1" applyFill="1" applyBorder="1" applyAlignment="1">
      <alignment horizontal="center" vertical="center"/>
    </xf>
    <xf numFmtId="0" fontId="2" fillId="3" borderId="15" xfId="5" applyFill="1" applyBorder="1" applyAlignment="1">
      <alignment horizontal="center" vertical="center"/>
    </xf>
    <xf numFmtId="0" fontId="2" fillId="4" borderId="86" xfId="5" applyFill="1" applyBorder="1" applyAlignment="1">
      <alignment horizontal="center" vertical="center"/>
    </xf>
    <xf numFmtId="0" fontId="2" fillId="0" borderId="7" xfId="5" applyBorder="1" applyAlignment="1">
      <alignment horizontal="center" vertical="center"/>
    </xf>
    <xf numFmtId="8" fontId="3" fillId="0" borderId="0" xfId="5" applyNumberFormat="1" applyFont="1" applyAlignment="1">
      <alignment horizontal="center" vertical="center"/>
    </xf>
    <xf numFmtId="4" fontId="2" fillId="3" borderId="15" xfId="0" applyNumberFormat="1" applyFont="1" applyFill="1" applyBorder="1" applyAlignment="1">
      <alignment vertical="center" wrapText="1"/>
    </xf>
    <xf numFmtId="40" fontId="3" fillId="3" borderId="4" xfId="3" applyNumberFormat="1" applyFont="1" applyFill="1" applyBorder="1" applyAlignment="1">
      <alignment horizontal="center" vertical="center" wrapText="1"/>
    </xf>
    <xf numFmtId="44" fontId="2" fillId="0" borderId="4" xfId="16" applyFont="1" applyFill="1" applyBorder="1" applyAlignment="1">
      <alignment horizontal="right" vertical="center" wrapText="1"/>
    </xf>
    <xf numFmtId="40" fontId="2" fillId="8" borderId="0" xfId="0" applyNumberFormat="1" applyFont="1" applyFill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8" fontId="2" fillId="3" borderId="4" xfId="5" applyNumberFormat="1" applyFont="1" applyFill="1" applyBorder="1" applyAlignment="1">
      <alignment horizontal="center" vertical="center"/>
    </xf>
    <xf numFmtId="44" fontId="2" fillId="0" borderId="4" xfId="16" applyFont="1" applyFill="1" applyBorder="1" applyAlignment="1">
      <alignment horizontal="center" vertical="center"/>
    </xf>
    <xf numFmtId="0" fontId="2" fillId="3" borderId="4" xfId="5" applyFont="1" applyFill="1" applyBorder="1" applyAlignment="1">
      <alignment horizontal="center" vertical="center" wrapText="1"/>
    </xf>
    <xf numFmtId="4" fontId="2" fillId="0" borderId="14" xfId="0" applyNumberFormat="1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6" fillId="21" borderId="0" xfId="0" applyFont="1" applyFill="1" applyAlignment="1">
      <alignment vertical="center" wrapText="1"/>
    </xf>
    <xf numFmtId="166" fontId="17" fillId="8" borderId="43" xfId="0" applyNumberFormat="1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4" borderId="14" xfId="5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3" fillId="3" borderId="14" xfId="5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3" borderId="14" xfId="5" applyFill="1" applyBorder="1" applyAlignment="1">
      <alignment horizontal="center" vertical="center" wrapText="1"/>
    </xf>
    <xf numFmtId="0" fontId="2" fillId="4" borderId="15" xfId="5" applyFill="1" applyBorder="1" applyAlignment="1">
      <alignment horizontal="center" vertical="center"/>
    </xf>
    <xf numFmtId="0" fontId="2" fillId="0" borderId="0" xfId="5" applyBorder="1" applyAlignment="1">
      <alignment horizontal="center" vertical="center"/>
    </xf>
    <xf numFmtId="0" fontId="2" fillId="3" borderId="4" xfId="5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 wrapText="1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2" borderId="1" xfId="0" applyFont="1" applyFill="1" applyBorder="1" applyAlignment="1">
      <alignment horizontal="center" vertical="center" wrapText="1"/>
    </xf>
    <xf numFmtId="0" fontId="3" fillId="22" borderId="16" xfId="0" applyFont="1" applyFill="1" applyBorder="1" applyAlignment="1">
      <alignment horizontal="center" vertical="center" wrapText="1"/>
    </xf>
    <xf numFmtId="10" fontId="2" fillId="22" borderId="1" xfId="8" applyNumberFormat="1" applyFont="1" applyFill="1" applyBorder="1" applyAlignment="1">
      <alignment vertical="center" wrapText="1"/>
    </xf>
    <xf numFmtId="168" fontId="2" fillId="0" borderId="0" xfId="0" applyNumberFormat="1" applyFont="1" applyFill="1" applyAlignment="1">
      <alignment vertical="center" wrapText="1"/>
    </xf>
    <xf numFmtId="168" fontId="2" fillId="0" borderId="115" xfId="1" applyNumberFormat="1" applyFont="1" applyFill="1" applyBorder="1" applyAlignment="1">
      <alignment horizontal="right" vertical="center" wrapText="1"/>
    </xf>
    <xf numFmtId="10" fontId="2" fillId="3" borderId="0" xfId="8" applyNumberFormat="1" applyFont="1" applyFill="1" applyBorder="1" applyAlignment="1">
      <alignment vertical="center" wrapText="1"/>
    </xf>
    <xf numFmtId="1" fontId="3" fillId="8" borderId="7" xfId="1" applyNumberFormat="1" applyFont="1" applyFill="1" applyBorder="1" applyAlignment="1">
      <alignment horizontal="center"/>
    </xf>
    <xf numFmtId="40" fontId="3" fillId="8" borderId="0" xfId="0" applyNumberFormat="1" applyFont="1" applyFill="1" applyBorder="1" applyAlignment="1"/>
    <xf numFmtId="40" fontId="3" fillId="8" borderId="7" xfId="0" applyNumberFormat="1" applyFont="1" applyFill="1" applyBorder="1" applyAlignment="1">
      <alignment horizontal="center"/>
    </xf>
    <xf numFmtId="40" fontId="3" fillId="8" borderId="7" xfId="0" applyNumberFormat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40" fontId="2" fillId="8" borderId="0" xfId="0" applyNumberFormat="1" applyFont="1" applyFill="1" applyBorder="1" applyAlignment="1"/>
    <xf numFmtId="40" fontId="2" fillId="15" borderId="56" xfId="0" applyNumberFormat="1" applyFont="1" applyFill="1" applyBorder="1" applyAlignment="1">
      <alignment horizontal="center"/>
    </xf>
    <xf numFmtId="0" fontId="2" fillId="3" borderId="20" xfId="5" applyFont="1" applyFill="1" applyBorder="1" applyAlignment="1">
      <alignment horizontal="center" vertical="center" wrapText="1"/>
    </xf>
    <xf numFmtId="0" fontId="2" fillId="3" borderId="70" xfId="5" applyFont="1" applyFill="1" applyBorder="1" applyAlignment="1">
      <alignment horizontal="center" vertical="center" wrapText="1"/>
    </xf>
    <xf numFmtId="0" fontId="2" fillId="3" borderId="20" xfId="5" applyFont="1" applyFill="1" applyBorder="1" applyAlignment="1">
      <alignment horizontal="center" vertical="center"/>
    </xf>
    <xf numFmtId="4" fontId="2" fillId="3" borderId="20" xfId="5" applyNumberFormat="1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/>
    </xf>
    <xf numFmtId="8" fontId="3" fillId="0" borderId="0" xfId="5" applyNumberFormat="1" applyFont="1" applyFill="1" applyBorder="1" applyAlignment="1">
      <alignment horizontal="center" vertical="center"/>
    </xf>
    <xf numFmtId="8" fontId="2" fillId="0" borderId="4" xfId="1" applyNumberFormat="1" applyFont="1" applyFill="1" applyBorder="1" applyAlignment="1">
      <alignment horizontal="right" vertical="center" wrapText="1"/>
    </xf>
    <xf numFmtId="0" fontId="3" fillId="0" borderId="73" xfId="0" applyFont="1" applyFill="1" applyBorder="1" applyAlignment="1">
      <alignment horizontal="right" vertical="center" wrapText="1"/>
    </xf>
    <xf numFmtId="168" fontId="3" fillId="0" borderId="118" xfId="1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40" fontId="3" fillId="8" borderId="0" xfId="0" applyNumberFormat="1" applyFont="1" applyFill="1" applyAlignment="1">
      <alignment horizontal="center" vertical="center"/>
    </xf>
    <xf numFmtId="0" fontId="3" fillId="4" borderId="82" xfId="5" applyFont="1" applyFill="1" applyBorder="1" applyAlignment="1">
      <alignment horizontal="center" vertical="center"/>
    </xf>
    <xf numFmtId="0" fontId="2" fillId="4" borderId="4" xfId="5" applyFill="1" applyBorder="1" applyAlignment="1">
      <alignment horizontal="center" vertical="center"/>
    </xf>
    <xf numFmtId="0" fontId="3" fillId="3" borderId="82" xfId="5" applyFont="1" applyFill="1" applyBorder="1" applyAlignment="1">
      <alignment horizontal="center" vertical="center"/>
    </xf>
    <xf numFmtId="0" fontId="3" fillId="3" borderId="4" xfId="5" applyFont="1" applyFill="1" applyBorder="1" applyAlignment="1">
      <alignment horizontal="center" vertical="center"/>
    </xf>
    <xf numFmtId="172" fontId="2" fillId="3" borderId="4" xfId="5" applyNumberFormat="1" applyFill="1" applyBorder="1" applyAlignment="1">
      <alignment horizontal="center" vertical="center"/>
    </xf>
    <xf numFmtId="0" fontId="3" fillId="4" borderId="4" xfId="5" applyFont="1" applyFill="1" applyBorder="1" applyAlignment="1">
      <alignment horizontal="center" vertical="center"/>
    </xf>
    <xf numFmtId="40" fontId="3" fillId="2" borderId="16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2" fontId="0" fillId="0" borderId="4" xfId="0" applyNumberFormat="1" applyBorder="1" applyAlignment="1">
      <alignment horizontal="center" vertical="center"/>
    </xf>
    <xf numFmtId="2" fontId="0" fillId="0" borderId="83" xfId="0" applyNumberFormat="1" applyBorder="1" applyAlignment="1">
      <alignment horizontal="center" vertical="center"/>
    </xf>
    <xf numFmtId="0" fontId="2" fillId="0" borderId="114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40" fontId="2" fillId="8" borderId="0" xfId="0" applyNumberFormat="1" applyFont="1" applyFill="1" applyAlignment="1">
      <alignment horizontal="center"/>
    </xf>
    <xf numFmtId="40" fontId="2" fillId="8" borderId="0" xfId="0" applyNumberFormat="1" applyFont="1" applyFill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0" fontId="2" fillId="8" borderId="0" xfId="0" applyNumberFormat="1" applyFont="1" applyFill="1" applyAlignment="1">
      <alignment horizontal="center" vertical="center" wrapText="1"/>
    </xf>
    <xf numFmtId="40" fontId="2" fillId="8" borderId="4" xfId="0" applyNumberFormat="1" applyFont="1" applyFill="1" applyBorder="1" applyAlignment="1">
      <alignment horizontal="center" vertical="center" wrapText="1"/>
    </xf>
    <xf numFmtId="38" fontId="3" fillId="8" borderId="0" xfId="0" applyNumberFormat="1" applyFont="1" applyFill="1" applyAlignment="1">
      <alignment vertical="center" wrapText="1"/>
    </xf>
    <xf numFmtId="40" fontId="2" fillId="8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0" fontId="2" fillId="8" borderId="4" xfId="0" applyNumberFormat="1" applyFont="1" applyFill="1" applyBorder="1" applyAlignment="1">
      <alignment horizontal="center"/>
    </xf>
    <xf numFmtId="40" fontId="2" fillId="8" borderId="0" xfId="0" applyNumberFormat="1" applyFont="1" applyFill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4" xfId="0" applyNumberFormat="1" applyFont="1" applyFill="1" applyBorder="1" applyAlignment="1">
      <alignment horizontal="center" vertical="center" wrapText="1"/>
    </xf>
    <xf numFmtId="0" fontId="2" fillId="3" borderId="12" xfId="5" applyFont="1" applyFill="1" applyBorder="1" applyAlignment="1">
      <alignment horizontal="center" vertical="center"/>
    </xf>
    <xf numFmtId="44" fontId="2" fillId="3" borderId="4" xfId="5" applyNumberFormat="1" applyFont="1" applyFill="1" applyBorder="1" applyAlignment="1">
      <alignment horizontal="right" vertical="center" wrapText="1"/>
    </xf>
    <xf numFmtId="2" fontId="2" fillId="0" borderId="4" xfId="0" applyNumberFormat="1" applyFont="1" applyFill="1" applyBorder="1" applyAlignment="1">
      <alignment horizontal="center" vertical="center"/>
    </xf>
    <xf numFmtId="0" fontId="0" fillId="0" borderId="4" xfId="0" applyBorder="1"/>
    <xf numFmtId="40" fontId="2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40" fontId="2" fillId="8" borderId="0" xfId="0" applyNumberFormat="1" applyFont="1" applyFill="1" applyAlignment="1">
      <alignment horizontal="center"/>
    </xf>
    <xf numFmtId="40" fontId="2" fillId="8" borderId="0" xfId="0" applyNumberFormat="1" applyFont="1" applyFill="1" applyAlignment="1">
      <alignment horizontal="center" vertical="center"/>
    </xf>
    <xf numFmtId="40" fontId="3" fillId="8" borderId="0" xfId="0" applyNumberFormat="1" applyFont="1" applyFill="1" applyAlignment="1">
      <alignment horizontal="left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40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0" fontId="2" fillId="0" borderId="0" xfId="0" applyNumberFormat="1" applyFont="1" applyFill="1" applyBorder="1" applyAlignment="1">
      <alignment horizontal="center" vertical="center" wrapText="1"/>
    </xf>
    <xf numFmtId="2" fontId="2" fillId="8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0" fontId="0" fillId="0" borderId="0" xfId="0" applyNumberFormat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40" fontId="3" fillId="0" borderId="1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Border="1" applyAlignment="1">
      <alignment wrapText="1"/>
    </xf>
    <xf numFmtId="0" fontId="2" fillId="3" borderId="82" xfId="5" applyFont="1" applyFill="1" applyBorder="1" applyAlignment="1">
      <alignment horizontal="center" vertical="center"/>
    </xf>
    <xf numFmtId="172" fontId="2" fillId="3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" fillId="3" borderId="123" xfId="5" applyFont="1" applyFill="1" applyBorder="1" applyAlignment="1">
      <alignment horizontal="center" vertical="center"/>
    </xf>
    <xf numFmtId="0" fontId="2" fillId="3" borderId="90" xfId="5" applyFont="1" applyFill="1" applyBorder="1" applyAlignment="1">
      <alignment horizontal="center" vertical="center" wrapText="1"/>
    </xf>
    <xf numFmtId="0" fontId="2" fillId="3" borderId="19" xfId="5" applyFont="1" applyFill="1" applyBorder="1" applyAlignment="1">
      <alignment horizontal="center" vertical="center"/>
    </xf>
    <xf numFmtId="0" fontId="2" fillId="0" borderId="20" xfId="5" applyFont="1" applyFill="1" applyBorder="1" applyAlignment="1">
      <alignment horizontal="center" vertical="center"/>
    </xf>
    <xf numFmtId="4" fontId="2" fillId="0" borderId="20" xfId="5" applyNumberFormat="1" applyFont="1" applyFill="1" applyBorder="1" applyAlignment="1">
      <alignment horizontal="center" vertical="center" wrapText="1"/>
    </xf>
    <xf numFmtId="0" fontId="2" fillId="0" borderId="0" xfId="12" applyAlignment="1">
      <alignment horizontal="center" vertical="center" wrapText="1"/>
    </xf>
    <xf numFmtId="4" fontId="2" fillId="3" borderId="4" xfId="0" applyNumberFormat="1" applyFont="1" applyFill="1" applyBorder="1" applyAlignment="1">
      <alignment vertical="center" wrapText="1"/>
    </xf>
    <xf numFmtId="4" fontId="2" fillId="3" borderId="12" xfId="0" applyNumberFormat="1" applyFont="1" applyFill="1" applyBorder="1" applyAlignment="1">
      <alignment horizontal="center" vertical="center" wrapText="1"/>
    </xf>
    <xf numFmtId="40" fontId="21" fillId="3" borderId="0" xfId="3" applyNumberFormat="1" applyFont="1" applyFill="1" applyAlignment="1">
      <alignment vertical="top" wrapText="1"/>
    </xf>
    <xf numFmtId="40" fontId="2" fillId="3" borderId="0" xfId="3" applyNumberFormat="1" applyFont="1" applyFill="1" applyBorder="1" applyAlignment="1">
      <alignment horizontal="center" vertical="center" wrapText="1"/>
    </xf>
    <xf numFmtId="40" fontId="3" fillId="3" borderId="0" xfId="3" applyNumberFormat="1" applyFont="1" applyFill="1" applyAlignment="1">
      <alignment vertical="center"/>
    </xf>
    <xf numFmtId="40" fontId="0" fillId="8" borderId="0" xfId="0" applyNumberFormat="1" applyFill="1" applyAlignment="1">
      <alignment horizontal="center"/>
    </xf>
    <xf numFmtId="40" fontId="2" fillId="15" borderId="13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2" fillId="3" borderId="4" xfId="3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40" fontId="2" fillId="8" borderId="0" xfId="0" applyNumberFormat="1" applyFont="1" applyFill="1" applyAlignment="1">
      <alignment horizontal="center" vertical="center"/>
    </xf>
    <xf numFmtId="40" fontId="2" fillId="15" borderId="13" xfId="0" applyNumberFormat="1" applyFont="1" applyFill="1" applyBorder="1" applyAlignment="1">
      <alignment horizontal="center"/>
    </xf>
    <xf numFmtId="40" fontId="3" fillId="8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40" fontId="2" fillId="8" borderId="0" xfId="0" applyNumberFormat="1" applyFont="1" applyFill="1" applyAlignment="1">
      <alignment horizontal="center" vertical="center" wrapText="1"/>
    </xf>
    <xf numFmtId="40" fontId="2" fillId="3" borderId="4" xfId="3" applyNumberFormat="1" applyFont="1" applyFill="1" applyBorder="1" applyAlignment="1">
      <alignment horizontal="center" vertical="center" wrapText="1"/>
    </xf>
    <xf numFmtId="40" fontId="2" fillId="3" borderId="0" xfId="3" applyNumberFormat="1" applyFont="1" applyFill="1" applyBorder="1" applyAlignment="1">
      <alignment horizontal="left" vertical="center" wrapText="1"/>
    </xf>
    <xf numFmtId="174" fontId="2" fillId="0" borderId="0" xfId="2" applyNumberFormat="1" applyFont="1" applyAlignment="1">
      <alignment vertical="center" wrapText="1"/>
    </xf>
    <xf numFmtId="174" fontId="3" fillId="0" borderId="0" xfId="2" applyNumberFormat="1" applyFont="1" applyAlignment="1">
      <alignment vertical="center" wrapText="1"/>
    </xf>
    <xf numFmtId="0" fontId="3" fillId="0" borderId="4" xfId="0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/>
    </xf>
    <xf numFmtId="40" fontId="2" fillId="8" borderId="9" xfId="0" applyNumberFormat="1" applyFont="1" applyFill="1" applyBorder="1" applyAlignment="1">
      <alignment horizontal="center" vertical="center" wrapText="1"/>
    </xf>
    <xf numFmtId="175" fontId="3" fillId="3" borderId="4" xfId="5" applyNumberFormat="1" applyFont="1" applyFill="1" applyBorder="1" applyAlignment="1">
      <alignment horizontal="center"/>
    </xf>
    <xf numFmtId="40" fontId="0" fillId="8" borderId="0" xfId="0" applyNumberForma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40" fontId="2" fillId="0" borderId="0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 vertical="center" wrapText="1"/>
    </xf>
    <xf numFmtId="2" fontId="2" fillId="8" borderId="0" xfId="0" applyNumberFormat="1" applyFont="1" applyFill="1" applyBorder="1" applyAlignment="1">
      <alignment horizontal="center"/>
    </xf>
    <xf numFmtId="2" fontId="3" fillId="8" borderId="0" xfId="0" applyNumberFormat="1" applyFont="1" applyFill="1" applyBorder="1" applyAlignment="1"/>
    <xf numFmtId="40" fontId="2" fillId="8" borderId="5" xfId="0" applyNumberFormat="1" applyFont="1" applyFill="1" applyBorder="1" applyAlignment="1">
      <alignment horizontal="center" vertical="center" wrapText="1"/>
    </xf>
    <xf numFmtId="40" fontId="2" fillId="8" borderId="6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/>
    </xf>
    <xf numFmtId="0" fontId="2" fillId="0" borderId="122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40" fontId="2" fillId="0" borderId="9" xfId="0" applyNumberFormat="1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2" fontId="2" fillId="8" borderId="119" xfId="0" applyNumberFormat="1" applyFont="1" applyFill="1" applyBorder="1" applyAlignment="1">
      <alignment horizontal="center"/>
    </xf>
    <xf numFmtId="2" fontId="2" fillId="8" borderId="120" xfId="0" applyNumberFormat="1" applyFont="1" applyFill="1" applyBorder="1" applyAlignment="1">
      <alignment horizontal="center"/>
    </xf>
    <xf numFmtId="2" fontId="2" fillId="8" borderId="121" xfId="0" applyNumberFormat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40" fontId="3" fillId="0" borderId="122" xfId="0" applyNumberFormat="1" applyFont="1" applyBorder="1" applyAlignment="1">
      <alignment horizontal="center"/>
    </xf>
    <xf numFmtId="0" fontId="3" fillId="0" borderId="122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2" fontId="2" fillId="0" borderId="11" xfId="0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12" applyAlignment="1">
      <alignment horizontal="center" vertical="center"/>
    </xf>
    <xf numFmtId="2" fontId="2" fillId="0" borderId="0" xfId="12" applyNumberFormat="1" applyFont="1" applyFill="1" applyBorder="1" applyAlignment="1">
      <alignment horizontal="center" vertical="center"/>
    </xf>
    <xf numFmtId="0" fontId="19" fillId="0" borderId="0" xfId="12" applyFont="1" applyFill="1" applyBorder="1" applyAlignment="1">
      <alignment horizontal="center" vertical="center"/>
    </xf>
    <xf numFmtId="40" fontId="2" fillId="0" borderId="0" xfId="12" applyNumberFormat="1" applyFont="1" applyFill="1" applyBorder="1" applyAlignment="1">
      <alignment horizontal="center" vertical="center"/>
    </xf>
    <xf numFmtId="2" fontId="2" fillId="0" borderId="0" xfId="12" applyNumberFormat="1" applyAlignment="1">
      <alignment horizontal="center" vertical="center"/>
    </xf>
    <xf numFmtId="40" fontId="0" fillId="0" borderId="0" xfId="0" applyNumberFormat="1" applyAlignment="1">
      <alignment horizontal="center" vertical="center"/>
    </xf>
    <xf numFmtId="40" fontId="0" fillId="0" borderId="0" xfId="0" applyNumberForma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" fontId="2" fillId="0" borderId="1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40" fontId="2" fillId="8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40" fontId="3" fillId="0" borderId="0" xfId="0" applyNumberFormat="1" applyFont="1" applyFill="1" applyAlignment="1">
      <alignment horizontal="left" vertical="center" wrapText="1"/>
    </xf>
    <xf numFmtId="40" fontId="3" fillId="8" borderId="0" xfId="0" applyNumberFormat="1" applyFont="1" applyFill="1" applyAlignment="1">
      <alignment horizontal="center" vertical="center"/>
    </xf>
    <xf numFmtId="0" fontId="0" fillId="20" borderId="64" xfId="0" applyFill="1" applyBorder="1" applyAlignment="1">
      <alignment horizontal="center" vertical="center"/>
    </xf>
    <xf numFmtId="2" fontId="2" fillId="20" borderId="65" xfId="0" applyNumberFormat="1" applyFont="1" applyFill="1" applyBorder="1" applyAlignment="1">
      <alignment horizontal="center" vertical="center"/>
    </xf>
    <xf numFmtId="0" fontId="0" fillId="20" borderId="66" xfId="0" applyFill="1" applyBorder="1" applyAlignment="1">
      <alignment horizontal="center" vertical="center"/>
    </xf>
    <xf numFmtId="40" fontId="2" fillId="8" borderId="0" xfId="0" applyNumberFormat="1" applyFont="1" applyFill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 wrapText="1"/>
    </xf>
    <xf numFmtId="40" fontId="2" fillId="0" borderId="9" xfId="0" applyNumberFormat="1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 wrapText="1"/>
    </xf>
    <xf numFmtId="2" fontId="0" fillId="0" borderId="0" xfId="0" applyNumberFormat="1"/>
    <xf numFmtId="0" fontId="2" fillId="0" borderId="71" xfId="0" applyFont="1" applyBorder="1" applyAlignment="1">
      <alignment horizontal="center"/>
    </xf>
    <xf numFmtId="40" fontId="2" fillId="0" borderId="69" xfId="0" applyNumberFormat="1" applyFont="1" applyBorder="1" applyAlignment="1">
      <alignment horizontal="center" wrapText="1"/>
    </xf>
    <xf numFmtId="0" fontId="2" fillId="0" borderId="69" xfId="0" applyFont="1" applyBorder="1" applyAlignment="1">
      <alignment horizontal="center"/>
    </xf>
    <xf numFmtId="0" fontId="0" fillId="0" borderId="69" xfId="0" applyBorder="1" applyAlignment="1">
      <alignment horizontal="center"/>
    </xf>
    <xf numFmtId="40" fontId="2" fillId="0" borderId="70" xfId="0" applyNumberFormat="1" applyFont="1" applyBorder="1" applyAlignment="1">
      <alignment horizontal="center" wrapText="1"/>
    </xf>
    <xf numFmtId="2" fontId="2" fillId="0" borderId="73" xfId="0" applyNumberFormat="1" applyFont="1" applyBorder="1" applyAlignment="1">
      <alignment horizontal="center"/>
    </xf>
    <xf numFmtId="0" fontId="0" fillId="0" borderId="118" xfId="0" applyBorder="1"/>
    <xf numFmtId="0" fontId="0" fillId="0" borderId="73" xfId="0" applyBorder="1"/>
    <xf numFmtId="0" fontId="0" fillId="0" borderId="17" xfId="0" applyBorder="1"/>
    <xf numFmtId="0" fontId="2" fillId="0" borderId="18" xfId="0" applyFont="1" applyBorder="1" applyAlignment="1">
      <alignment horizontal="center"/>
    </xf>
    <xf numFmtId="2" fontId="2" fillId="0" borderId="18" xfId="0" applyNumberFormat="1" applyFont="1" applyBorder="1" applyAlignment="1">
      <alignment horizontal="center"/>
    </xf>
    <xf numFmtId="0" fontId="0" fillId="0" borderId="18" xfId="0" applyBorder="1"/>
    <xf numFmtId="0" fontId="0" fillId="0" borderId="21" xfId="0" applyBorder="1"/>
    <xf numFmtId="0" fontId="2" fillId="0" borderId="118" xfId="0" applyFont="1" applyBorder="1" applyAlignment="1">
      <alignment horizont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0" fontId="3" fillId="0" borderId="0" xfId="0" applyNumberFormat="1" applyFont="1" applyFill="1" applyBorder="1" applyAlignment="1">
      <alignment horizontal="center"/>
    </xf>
    <xf numFmtId="10" fontId="3" fillId="0" borderId="1" xfId="0" applyNumberFormat="1" applyFont="1" applyBorder="1" applyAlignment="1">
      <alignment horizontal="center" vertical="center"/>
    </xf>
    <xf numFmtId="40" fontId="2" fillId="8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40" fontId="2" fillId="8" borderId="0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2" fontId="0" fillId="0" borderId="83" xfId="0" applyNumberFormat="1" applyBorder="1" applyAlignment="1">
      <alignment horizontal="center"/>
    </xf>
    <xf numFmtId="0" fontId="2" fillId="3" borderId="13" xfId="5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96" xfId="0" applyFont="1" applyBorder="1" applyAlignment="1">
      <alignment horizontal="center"/>
    </xf>
    <xf numFmtId="2" fontId="0" fillId="0" borderId="95" xfId="0" applyNumberFormat="1" applyBorder="1" applyAlignment="1">
      <alignment horizontal="center" vertical="center"/>
    </xf>
    <xf numFmtId="40" fontId="0" fillId="8" borderId="0" xfId="0" applyNumberFormat="1" applyFill="1" applyAlignment="1">
      <alignment horizontal="center"/>
    </xf>
    <xf numFmtId="40" fontId="2" fillId="13" borderId="13" xfId="0" applyNumberFormat="1" applyFont="1" applyFill="1" applyBorder="1" applyAlignment="1">
      <alignment horizontal="center"/>
    </xf>
    <xf numFmtId="40" fontId="2" fillId="15" borderId="1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28" fillId="0" borderId="4" xfId="0" applyFont="1" applyFill="1" applyBorder="1" applyAlignment="1">
      <alignment horizontal="left" vertical="center" wrapText="1"/>
    </xf>
    <xf numFmtId="164" fontId="2" fillId="0" borderId="20" xfId="1" applyFont="1" applyFill="1" applyBorder="1" applyAlignment="1">
      <alignment horizontal="center" vertical="center" wrapText="1"/>
    </xf>
    <xf numFmtId="164" fontId="2" fillId="0" borderId="12" xfId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40" fontId="3" fillId="8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40" fontId="2" fillId="0" borderId="0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 vertical="center" wrapText="1"/>
    </xf>
    <xf numFmtId="40" fontId="0" fillId="15" borderId="14" xfId="0" applyNumberFormat="1" applyFill="1" applyBorder="1" applyAlignment="1">
      <alignment horizontal="center" vertical="center"/>
    </xf>
    <xf numFmtId="40" fontId="2" fillId="15" borderId="15" xfId="0" applyNumberFormat="1" applyFont="1" applyFill="1" applyBorder="1" applyAlignment="1">
      <alignment horizontal="center" vertical="center"/>
    </xf>
    <xf numFmtId="40" fontId="3" fillId="0" borderId="0" xfId="0" applyNumberFormat="1" applyFont="1" applyFill="1" applyAlignment="1">
      <alignment horizontal="left"/>
    </xf>
    <xf numFmtId="40" fontId="0" fillId="0" borderId="0" xfId="0" applyNumberFormat="1" applyFill="1" applyBorder="1" applyAlignment="1">
      <alignment horizontal="center"/>
    </xf>
    <xf numFmtId="0" fontId="3" fillId="0" borderId="0" xfId="12" applyFont="1" applyAlignment="1">
      <alignment horizontal="left" vertical="center" wrapText="1"/>
    </xf>
    <xf numFmtId="7" fontId="3" fillId="4" borderId="85" xfId="1" applyNumberFormat="1" applyFont="1" applyFill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0" fontId="0" fillId="0" borderId="0" xfId="0" applyNumberFormat="1"/>
    <xf numFmtId="0" fontId="2" fillId="0" borderId="0" xfId="0" applyFont="1" applyAlignment="1">
      <alignment wrapText="1"/>
    </xf>
    <xf numFmtId="2" fontId="0" fillId="0" borderId="0" xfId="0" applyNumberFormat="1" applyAlignment="1">
      <alignment horizontal="center" vertical="center" wrapText="1"/>
    </xf>
    <xf numFmtId="40" fontId="0" fillId="0" borderId="0" xfId="0" applyNumberFormat="1" applyAlignment="1">
      <alignment horizontal="center" vertical="center" wrapText="1"/>
    </xf>
    <xf numFmtId="164" fontId="6" fillId="0" borderId="12" xfId="1" applyFont="1" applyFill="1" applyBorder="1" applyAlignment="1">
      <alignment horizontal="center" vertical="center" wrapText="1"/>
    </xf>
    <xf numFmtId="164" fontId="2" fillId="0" borderId="19" xfId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40" fontId="0" fillId="0" borderId="0" xfId="0" applyNumberFormat="1" applyBorder="1" applyAlignment="1">
      <alignment horizontal="center" vertical="center" wrapText="1"/>
    </xf>
    <xf numFmtId="40" fontId="2" fillId="8" borderId="4" xfId="0" applyNumberFormat="1" applyFont="1" applyFill="1" applyBorder="1" applyAlignment="1">
      <alignment horizontal="center" vertical="center" wrapText="1"/>
    </xf>
    <xf numFmtId="4" fontId="2" fillId="0" borderId="118" xfId="0" applyNumberFormat="1" applyFont="1" applyFill="1" applyBorder="1" applyAlignment="1">
      <alignment vertical="center" wrapText="1"/>
    </xf>
    <xf numFmtId="168" fontId="2" fillId="0" borderId="20" xfId="5" applyNumberFormat="1" applyFont="1" applyFill="1" applyBorder="1" applyAlignment="1">
      <alignment vertical="center" wrapText="1"/>
    </xf>
    <xf numFmtId="0" fontId="2" fillId="3" borderId="65" xfId="0" applyFont="1" applyFill="1" applyBorder="1" applyAlignment="1">
      <alignment horizontal="center" vertical="center" wrapText="1"/>
    </xf>
    <xf numFmtId="164" fontId="2" fillId="0" borderId="65" xfId="1" applyFont="1" applyFill="1" applyBorder="1" applyAlignment="1">
      <alignment horizontal="center" vertical="center" wrapText="1"/>
    </xf>
    <xf numFmtId="168" fontId="2" fillId="0" borderId="65" xfId="1" applyNumberFormat="1" applyFont="1" applyFill="1" applyBorder="1" applyAlignment="1">
      <alignment horizontal="right" vertical="center" wrapText="1"/>
    </xf>
    <xf numFmtId="168" fontId="6" fillId="0" borderId="0" xfId="0" applyNumberFormat="1" applyFont="1" applyAlignment="1">
      <alignment vertical="center" wrapText="1"/>
    </xf>
    <xf numFmtId="4" fontId="2" fillId="0" borderId="17" xfId="0" applyNumberFormat="1" applyFont="1" applyFill="1" applyBorder="1" applyAlignment="1">
      <alignment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0" fontId="12" fillId="23" borderId="0" xfId="0" applyFont="1" applyFill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175" fontId="3" fillId="4" borderId="4" xfId="5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4" fontId="2" fillId="0" borderId="12" xfId="0" applyNumberFormat="1" applyFont="1" applyFill="1" applyBorder="1" applyAlignment="1">
      <alignment vertical="center" wrapText="1"/>
    </xf>
    <xf numFmtId="0" fontId="2" fillId="8" borderId="0" xfId="0" applyFont="1" applyFill="1" applyAlignment="1">
      <alignment horizontal="center" vertical="center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 vertical="center" wrapText="1"/>
    </xf>
    <xf numFmtId="40" fontId="3" fillId="8" borderId="0" xfId="0" applyNumberFormat="1" applyFont="1" applyFill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 wrapText="1"/>
    </xf>
    <xf numFmtId="40" fontId="3" fillId="19" borderId="13" xfId="0" applyNumberFormat="1" applyFont="1" applyFill="1" applyBorder="1" applyAlignment="1">
      <alignment horizontal="center" vertical="center" wrapText="1"/>
    </xf>
    <xf numFmtId="40" fontId="3" fillId="19" borderId="14" xfId="0" applyNumberFormat="1" applyFont="1" applyFill="1" applyBorder="1" applyAlignment="1">
      <alignment horizontal="center" vertical="center" wrapText="1"/>
    </xf>
    <xf numFmtId="40" fontId="3" fillId="19" borderId="15" xfId="0" applyNumberFormat="1" applyFont="1" applyFill="1" applyBorder="1" applyAlignment="1">
      <alignment horizontal="center" vertical="center" wrapText="1"/>
    </xf>
    <xf numFmtId="40" fontId="2" fillId="15" borderId="4" xfId="0" applyNumberFormat="1" applyFont="1" applyFill="1" applyBorder="1" applyAlignment="1">
      <alignment horizontal="center" vertical="center" wrapText="1"/>
    </xf>
    <xf numFmtId="40" fontId="0" fillId="15" borderId="4" xfId="0" applyNumberFormat="1" applyFill="1" applyBorder="1" applyAlignment="1">
      <alignment horizontal="center" vertical="center"/>
    </xf>
    <xf numFmtId="40" fontId="2" fillId="15" borderId="4" xfId="0" applyNumberFormat="1" applyFont="1" applyFill="1" applyBorder="1" applyAlignment="1">
      <alignment horizontal="center" vertical="center"/>
    </xf>
    <xf numFmtId="40" fontId="3" fillId="15" borderId="67" xfId="0" applyNumberFormat="1" applyFont="1" applyFill="1" applyBorder="1" applyAlignment="1">
      <alignment horizontal="center"/>
    </xf>
    <xf numFmtId="40" fontId="3" fillId="15" borderId="56" xfId="0" applyNumberFormat="1" applyFont="1" applyFill="1" applyBorder="1" applyAlignment="1">
      <alignment horizontal="center"/>
    </xf>
    <xf numFmtId="40" fontId="3" fillId="15" borderId="68" xfId="0" applyNumberFormat="1" applyFont="1" applyFill="1" applyBorder="1" applyAlignment="1">
      <alignment horizontal="center"/>
    </xf>
    <xf numFmtId="40" fontId="25" fillId="8" borderId="0" xfId="0" applyNumberFormat="1" applyFont="1" applyFill="1" applyAlignment="1">
      <alignment wrapText="1"/>
    </xf>
    <xf numFmtId="40" fontId="3" fillId="15" borderId="13" xfId="0" applyNumberFormat="1" applyFont="1" applyFill="1" applyBorder="1" applyAlignment="1">
      <alignment horizontal="center" vertical="center" wrapText="1"/>
    </xf>
    <xf numFmtId="40" fontId="3" fillId="15" borderId="14" xfId="0" applyNumberFormat="1" applyFont="1" applyFill="1" applyBorder="1" applyAlignment="1">
      <alignment horizontal="center" vertical="center"/>
    </xf>
    <xf numFmtId="40" fontId="3" fillId="15" borderId="15" xfId="0" applyNumberFormat="1" applyFont="1" applyFill="1" applyBorder="1" applyAlignment="1">
      <alignment horizontal="center" vertical="center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Alignment="1">
      <alignment horizontal="center" vertical="center" wrapText="1"/>
    </xf>
    <xf numFmtId="40" fontId="3" fillId="8" borderId="0" xfId="0" applyNumberFormat="1" applyFont="1" applyFill="1" applyAlignment="1">
      <alignment horizontal="left" wrapText="1"/>
    </xf>
    <xf numFmtId="40" fontId="0" fillId="8" borderId="0" xfId="0" applyNumberFormat="1" applyFill="1" applyAlignment="1">
      <alignment horizontal="center"/>
    </xf>
    <xf numFmtId="40" fontId="2" fillId="8" borderId="0" xfId="0" applyNumberFormat="1" applyFont="1" applyFill="1" applyAlignment="1">
      <alignment horizontal="center"/>
    </xf>
    <xf numFmtId="40" fontId="3" fillId="8" borderId="0" xfId="0" applyNumberFormat="1" applyFont="1" applyFill="1" applyBorder="1" applyAlignment="1">
      <alignment horizontal="center" vertical="center"/>
    </xf>
    <xf numFmtId="40" fontId="3" fillId="8" borderId="0" xfId="0" applyNumberFormat="1" applyFont="1" applyFill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40" fontId="3" fillId="9" borderId="0" xfId="0" applyNumberFormat="1" applyFont="1" applyFill="1" applyAlignment="1">
      <alignment horizontal="left" vertical="center"/>
    </xf>
    <xf numFmtId="40" fontId="3" fillId="0" borderId="0" xfId="0" applyNumberFormat="1" applyFont="1" applyFill="1" applyAlignment="1">
      <alignment horizontal="left" vertical="center"/>
    </xf>
    <xf numFmtId="40" fontId="0" fillId="0" borderId="0" xfId="0" applyNumberFormat="1" applyFont="1" applyFill="1" applyBorder="1" applyAlignment="1">
      <alignment horizontal="center"/>
    </xf>
    <xf numFmtId="40" fontId="3" fillId="0" borderId="0" xfId="0" applyNumberFormat="1" applyFont="1" applyFill="1" applyAlignment="1">
      <alignment horizontal="left" wrapText="1"/>
    </xf>
    <xf numFmtId="0" fontId="0" fillId="0" borderId="0" xfId="0" applyFill="1" applyAlignment="1"/>
    <xf numFmtId="40" fontId="3" fillId="8" borderId="4" xfId="0" applyNumberFormat="1" applyFont="1" applyFill="1" applyBorder="1" applyAlignment="1">
      <alignment horizontal="center" vertical="center" wrapText="1"/>
    </xf>
    <xf numFmtId="40" fontId="2" fillId="0" borderId="4" xfId="0" applyNumberFormat="1" applyFont="1" applyFill="1" applyBorder="1" applyAlignment="1">
      <alignment horizontal="center" vertical="center" wrapText="1"/>
    </xf>
    <xf numFmtId="0" fontId="2" fillId="3" borderId="82" xfId="5" applyFont="1" applyFill="1" applyBorder="1" applyAlignment="1">
      <alignment horizontal="center" vertical="center" wrapText="1"/>
    </xf>
    <xf numFmtId="0" fontId="2" fillId="0" borderId="4" xfId="18" applyFont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8" fontId="2" fillId="0" borderId="2" xfId="1" applyNumberFormat="1" applyFont="1" applyFill="1" applyBorder="1" applyAlignment="1">
      <alignment horizontal="right" vertical="center" wrapText="1"/>
    </xf>
    <xf numFmtId="168" fontId="2" fillId="0" borderId="15" xfId="1" applyNumberFormat="1" applyFont="1" applyFill="1" applyBorder="1" applyAlignment="1">
      <alignment horizontal="right" vertical="center" wrapText="1"/>
    </xf>
    <xf numFmtId="0" fontId="2" fillId="3" borderId="13" xfId="5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40" fontId="0" fillId="8" borderId="0" xfId="0" applyNumberFormat="1" applyFill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2" fillId="8" borderId="2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13" xfId="0" applyFont="1" applyFill="1" applyBorder="1" applyAlignment="1">
      <alignment vertical="center" wrapText="1"/>
    </xf>
    <xf numFmtId="174" fontId="2" fillId="0" borderId="0" xfId="2" applyNumberFormat="1" applyFont="1" applyFill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40" fontId="3" fillId="8" borderId="0" xfId="0" applyNumberFormat="1" applyFont="1" applyFill="1" applyBorder="1" applyAlignment="1">
      <alignment horizontal="left" vertical="center" wrapText="1"/>
    </xf>
    <xf numFmtId="40" fontId="2" fillId="8" borderId="18" xfId="0" applyNumberFormat="1" applyFont="1" applyFill="1" applyBorder="1" applyAlignment="1">
      <alignment horizontal="center" vertical="center"/>
    </xf>
    <xf numFmtId="40" fontId="0" fillId="8" borderId="0" xfId="0" applyNumberFormat="1" applyFill="1"/>
    <xf numFmtId="40" fontId="3" fillId="0" borderId="0" xfId="0" applyNumberFormat="1" applyFont="1" applyFill="1" applyAlignment="1">
      <alignment horizontal="center"/>
    </xf>
    <xf numFmtId="0" fontId="3" fillId="20" borderId="1" xfId="0" applyFont="1" applyFill="1" applyBorder="1" applyAlignment="1">
      <alignment horizontal="center" vertical="center" wrapText="1"/>
    </xf>
    <xf numFmtId="2" fontId="3" fillId="20" borderId="3" xfId="0" applyNumberFormat="1" applyFont="1" applyFill="1" applyBorder="1" applyAlignment="1">
      <alignment horizontal="center" vertical="center"/>
    </xf>
    <xf numFmtId="2" fontId="3" fillId="20" borderId="2" xfId="0" applyNumberFormat="1" applyFont="1" applyFill="1" applyBorder="1" applyAlignment="1">
      <alignment horizontal="center" vertical="center"/>
    </xf>
    <xf numFmtId="40" fontId="8" fillId="3" borderId="4" xfId="3" applyNumberFormat="1" applyFont="1" applyFill="1" applyBorder="1" applyAlignment="1">
      <alignment vertical="center" wrapText="1"/>
    </xf>
    <xf numFmtId="10" fontId="2" fillId="4" borderId="1" xfId="8" applyNumberFormat="1" applyFont="1" applyFill="1" applyBorder="1" applyAlignment="1">
      <alignment vertical="center" wrapText="1"/>
    </xf>
    <xf numFmtId="174" fontId="2" fillId="0" borderId="0" xfId="8" applyNumberFormat="1" applyFont="1" applyAlignment="1">
      <alignment vertical="center" wrapText="1"/>
    </xf>
    <xf numFmtId="0" fontId="2" fillId="0" borderId="19" xfId="0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vertical="center" wrapText="1"/>
    </xf>
    <xf numFmtId="176" fontId="19" fillId="0" borderId="0" xfId="21" applyFont="1" applyFill="1"/>
    <xf numFmtId="0" fontId="29" fillId="0" borderId="7" xfId="22" applyNumberFormat="1" applyFont="1" applyFill="1" applyBorder="1" applyAlignment="1">
      <alignment horizontal="center" vertical="center" wrapText="1"/>
    </xf>
    <xf numFmtId="176" fontId="2" fillId="0" borderId="0" xfId="21" applyFill="1"/>
    <xf numFmtId="176" fontId="2" fillId="0" borderId="0" xfId="21"/>
    <xf numFmtId="0" fontId="19" fillId="0" borderId="0" xfId="21" applyNumberFormat="1" applyFont="1" applyFill="1" applyAlignment="1">
      <alignment horizontal="center"/>
    </xf>
    <xf numFmtId="176" fontId="19" fillId="0" borderId="0" xfId="21" applyFont="1"/>
    <xf numFmtId="0" fontId="8" fillId="0" borderId="0" xfId="21" applyNumberFormat="1" applyFont="1" applyFill="1" applyAlignment="1">
      <alignment horizontal="center"/>
    </xf>
    <xf numFmtId="0" fontId="19" fillId="0" borderId="0" xfId="21" applyNumberFormat="1" applyFont="1" applyFill="1"/>
    <xf numFmtId="0" fontId="19" fillId="0" borderId="0" xfId="21" applyNumberFormat="1" applyFont="1" applyFill="1" applyBorder="1" applyAlignment="1">
      <alignment horizontal="center" vertical="center"/>
    </xf>
    <xf numFmtId="0" fontId="19" fillId="0" borderId="0" xfId="21" applyNumberFormat="1" applyFont="1" applyFill="1" applyBorder="1"/>
    <xf numFmtId="0" fontId="5" fillId="0" borderId="7" xfId="22" applyNumberFormat="1" applyFont="1" applyFill="1" applyBorder="1" applyAlignment="1">
      <alignment horizontal="center" vertical="center" wrapText="1"/>
    </xf>
    <xf numFmtId="176" fontId="8" fillId="0" borderId="0" xfId="21" applyFont="1" applyFill="1" applyBorder="1"/>
    <xf numFmtId="0" fontId="19" fillId="0" borderId="0" xfId="21" applyNumberFormat="1" applyFont="1" applyFill="1" applyBorder="1" applyAlignment="1">
      <alignment horizontal="center"/>
    </xf>
    <xf numFmtId="0" fontId="19" fillId="0" borderId="14" xfId="21" applyNumberFormat="1" applyFont="1" applyFill="1" applyBorder="1" applyAlignment="1">
      <alignment horizontal="center" vertical="center"/>
    </xf>
    <xf numFmtId="176" fontId="19" fillId="0" borderId="118" xfId="21" applyFont="1" applyFill="1" applyBorder="1" applyAlignment="1">
      <alignment horizontal="center"/>
    </xf>
    <xf numFmtId="176" fontId="19" fillId="0" borderId="0" xfId="21" applyFont="1" applyFill="1" applyBorder="1" applyAlignment="1">
      <alignment horizontal="center"/>
    </xf>
    <xf numFmtId="2" fontId="19" fillId="0" borderId="0" xfId="21" applyNumberFormat="1" applyFont="1" applyFill="1" applyBorder="1" applyAlignment="1">
      <alignment horizontal="center" vertical="center"/>
    </xf>
    <xf numFmtId="0" fontId="19" fillId="0" borderId="118" xfId="21" applyNumberFormat="1" applyFont="1" applyFill="1" applyBorder="1" applyAlignment="1">
      <alignment horizontal="center"/>
    </xf>
    <xf numFmtId="172" fontId="19" fillId="0" borderId="0" xfId="21" applyNumberFormat="1" applyFont="1" applyFill="1" applyBorder="1" applyAlignment="1">
      <alignment horizontal="center" vertical="center"/>
    </xf>
    <xf numFmtId="176" fontId="19" fillId="0" borderId="0" xfId="21" applyFont="1" applyFill="1" applyBorder="1"/>
    <xf numFmtId="0" fontId="19" fillId="0" borderId="0" xfId="21" applyNumberFormat="1" applyFont="1" applyFill="1" applyBorder="1" applyAlignment="1">
      <alignment vertical="center"/>
    </xf>
    <xf numFmtId="2" fontId="19" fillId="0" borderId="0" xfId="21" applyNumberFormat="1" applyFont="1" applyFill="1"/>
    <xf numFmtId="0" fontId="5" fillId="0" borderId="0" xfId="21" applyNumberFormat="1" applyFont="1" applyFill="1" applyAlignment="1">
      <alignment horizontal="center"/>
    </xf>
    <xf numFmtId="176" fontId="2" fillId="0" borderId="118" xfId="21" applyFill="1" applyBorder="1"/>
    <xf numFmtId="0" fontId="19" fillId="0" borderId="15" xfId="21" applyNumberFormat="1" applyFont="1" applyFill="1" applyBorder="1" applyAlignment="1">
      <alignment horizontal="center" vertical="center"/>
    </xf>
    <xf numFmtId="0" fontId="29" fillId="0" borderId="0" xfId="22" applyNumberFormat="1" applyFont="1" applyFill="1" applyBorder="1" applyAlignment="1">
      <alignment horizontal="left" vertical="center"/>
    </xf>
    <xf numFmtId="0" fontId="29" fillId="0" borderId="0" xfId="22" applyNumberFormat="1" applyFont="1" applyFill="1" applyBorder="1" applyAlignment="1">
      <alignment horizontal="left" vertical="center" wrapText="1"/>
    </xf>
    <xf numFmtId="176" fontId="19" fillId="0" borderId="0" xfId="21" applyFont="1" applyFill="1" applyBorder="1" applyAlignment="1"/>
    <xf numFmtId="0" fontId="19" fillId="0" borderId="13" xfId="21" applyNumberFormat="1" applyFont="1" applyFill="1" applyBorder="1" applyAlignment="1">
      <alignment horizontal="center" vertical="center"/>
    </xf>
    <xf numFmtId="40" fontId="19" fillId="0" borderId="14" xfId="21" applyNumberFormat="1" applyFont="1" applyFill="1" applyBorder="1" applyAlignment="1">
      <alignment horizontal="center" vertical="center"/>
    </xf>
    <xf numFmtId="40" fontId="19" fillId="0" borderId="15" xfId="21" applyNumberFormat="1" applyFont="1" applyFill="1" applyBorder="1" applyAlignment="1">
      <alignment horizontal="center" vertical="center"/>
    </xf>
    <xf numFmtId="176" fontId="2" fillId="0" borderId="0" xfId="21" applyFont="1" applyFill="1"/>
    <xf numFmtId="176" fontId="2" fillId="0" borderId="4" xfId="21" applyFont="1" applyFill="1" applyBorder="1" applyAlignment="1"/>
    <xf numFmtId="2" fontId="2" fillId="0" borderId="4" xfId="21" applyNumberFormat="1" applyFont="1" applyFill="1" applyBorder="1" applyAlignment="1"/>
    <xf numFmtId="176" fontId="2" fillId="0" borderId="4" xfId="21" applyFont="1" applyFill="1" applyBorder="1" applyAlignment="1">
      <alignment horizontal="center"/>
    </xf>
    <xf numFmtId="176" fontId="2" fillId="0" borderId="4" xfId="21" applyFont="1" applyFill="1" applyBorder="1"/>
    <xf numFmtId="2" fontId="2" fillId="0" borderId="4" xfId="21" applyNumberFormat="1" applyFont="1" applyFill="1" applyBorder="1" applyAlignment="1">
      <alignment horizontal="center"/>
    </xf>
    <xf numFmtId="0" fontId="2" fillId="17" borderId="13" xfId="21" applyNumberFormat="1" applyFont="1" applyFill="1" applyBorder="1" applyAlignment="1">
      <alignment horizontal="center" vertical="center"/>
    </xf>
    <xf numFmtId="2" fontId="2" fillId="17" borderId="14" xfId="21" applyNumberFormat="1" applyFont="1" applyFill="1" applyBorder="1" applyAlignment="1">
      <alignment horizontal="center" vertical="center"/>
    </xf>
    <xf numFmtId="0" fontId="2" fillId="17" borderId="15" xfId="21" applyNumberFormat="1" applyFont="1" applyFill="1" applyBorder="1" applyAlignment="1">
      <alignment horizontal="center" vertical="center"/>
    </xf>
    <xf numFmtId="0" fontId="2" fillId="0" borderId="4" xfId="21" applyNumberFormat="1" applyFont="1" applyFill="1" applyBorder="1" applyAlignment="1">
      <alignment horizontal="center"/>
    </xf>
    <xf numFmtId="0" fontId="2" fillId="0" borderId="0" xfId="21" applyNumberFormat="1" applyFont="1" applyFill="1"/>
    <xf numFmtId="0" fontId="2" fillId="0" borderId="0" xfId="21" applyNumberFormat="1" applyFont="1" applyFill="1" applyBorder="1" applyAlignment="1">
      <alignment horizontal="center" vertical="center"/>
    </xf>
    <xf numFmtId="4" fontId="5" fillId="0" borderId="0" xfId="21" applyNumberFormat="1" applyFont="1" applyFill="1"/>
    <xf numFmtId="0" fontId="3" fillId="0" borderId="0" xfId="21" applyNumberFormat="1" applyFont="1" applyFill="1"/>
    <xf numFmtId="0" fontId="2" fillId="0" borderId="14" xfId="21" applyNumberFormat="1" applyFont="1" applyFill="1" applyBorder="1" applyAlignment="1">
      <alignment horizontal="center" vertical="center"/>
    </xf>
    <xf numFmtId="0" fontId="2" fillId="0" borderId="0" xfId="21" applyNumberFormat="1" applyFont="1" applyFill="1" applyAlignment="1">
      <alignment horizontal="center"/>
    </xf>
    <xf numFmtId="176" fontId="2" fillId="0" borderId="4" xfId="21" applyFont="1" applyFill="1" applyBorder="1" applyAlignment="1">
      <alignment horizontal="center" vertical="center"/>
    </xf>
    <xf numFmtId="176" fontId="2" fillId="0" borderId="4" xfId="21" applyFont="1" applyFill="1" applyBorder="1" applyAlignment="1">
      <alignment vertical="center"/>
    </xf>
    <xf numFmtId="176" fontId="2" fillId="0" borderId="4" xfId="21" applyFont="1" applyFill="1" applyBorder="1" applyAlignment="1">
      <alignment vertical="center" wrapText="1"/>
    </xf>
    <xf numFmtId="0" fontId="2" fillId="0" borderId="4" xfId="21" applyNumberFormat="1" applyFont="1" applyFill="1" applyBorder="1" applyAlignment="1">
      <alignment horizontal="center" vertical="center"/>
    </xf>
    <xf numFmtId="0" fontId="2" fillId="0" borderId="12" xfId="21" applyNumberFormat="1" applyFont="1" applyFill="1" applyBorder="1" applyAlignment="1">
      <alignment horizontal="center" vertical="center"/>
    </xf>
    <xf numFmtId="0" fontId="2" fillId="0" borderId="17" xfId="21" applyNumberFormat="1" applyFont="1" applyFill="1" applyBorder="1" applyAlignment="1">
      <alignment vertical="center"/>
    </xf>
    <xf numFmtId="0" fontId="2" fillId="0" borderId="18" xfId="21" applyNumberFormat="1" applyFont="1" applyFill="1" applyBorder="1" applyAlignment="1">
      <alignment horizontal="center" vertical="center"/>
    </xf>
    <xf numFmtId="0" fontId="2" fillId="0" borderId="18" xfId="21" applyNumberFormat="1" applyFont="1" applyFill="1" applyBorder="1" applyAlignment="1">
      <alignment vertical="center"/>
    </xf>
    <xf numFmtId="0" fontId="2" fillId="0" borderId="21" xfId="21" applyNumberFormat="1" applyFont="1" applyFill="1" applyBorder="1" applyAlignment="1">
      <alignment vertical="center"/>
    </xf>
    <xf numFmtId="2" fontId="2" fillId="0" borderId="12" xfId="21" applyNumberFormat="1" applyFont="1" applyFill="1" applyBorder="1" applyAlignment="1">
      <alignment horizontal="center" vertical="center"/>
    </xf>
    <xf numFmtId="176" fontId="2" fillId="0" borderId="13" xfId="21" applyFont="1" applyFill="1" applyBorder="1" applyAlignment="1">
      <alignment vertical="center" wrapText="1"/>
    </xf>
    <xf numFmtId="176" fontId="2" fillId="0" borderId="14" xfId="21" applyFont="1" applyFill="1" applyBorder="1" applyAlignment="1">
      <alignment horizontal="center" vertical="center" wrapText="1"/>
    </xf>
    <xf numFmtId="176" fontId="2" fillId="0" borderId="14" xfId="21" applyFont="1" applyFill="1" applyBorder="1" applyAlignment="1">
      <alignment vertical="center" wrapText="1"/>
    </xf>
    <xf numFmtId="176" fontId="2" fillId="0" borderId="15" xfId="21" applyFont="1" applyFill="1" applyBorder="1" applyAlignment="1">
      <alignment vertical="center" wrapText="1"/>
    </xf>
    <xf numFmtId="0" fontId="3" fillId="0" borderId="12" xfId="21" applyNumberFormat="1" applyFont="1" applyFill="1" applyBorder="1" applyAlignment="1">
      <alignment horizontal="center" vertical="center"/>
    </xf>
    <xf numFmtId="0" fontId="2" fillId="0" borderId="0" xfId="21" applyNumberFormat="1" applyFont="1" applyFill="1" applyBorder="1" applyAlignment="1">
      <alignment vertical="center"/>
    </xf>
    <xf numFmtId="176" fontId="2" fillId="0" borderId="4" xfId="21" applyFont="1" applyFill="1" applyBorder="1" applyAlignment="1">
      <alignment wrapText="1"/>
    </xf>
    <xf numFmtId="2" fontId="2" fillId="0" borderId="4" xfId="21" applyNumberFormat="1" applyFont="1" applyFill="1" applyBorder="1" applyAlignment="1">
      <alignment horizontal="center" vertical="center"/>
    </xf>
    <xf numFmtId="0" fontId="2" fillId="0" borderId="0" xfId="21" applyNumberFormat="1" applyFont="1" applyFill="1" applyBorder="1"/>
    <xf numFmtId="0" fontId="2" fillId="17" borderId="14" xfId="21" applyNumberFormat="1" applyFont="1" applyFill="1" applyBorder="1" applyAlignment="1">
      <alignment horizontal="center" vertical="center"/>
    </xf>
    <xf numFmtId="0" fontId="2" fillId="0" borderId="4" xfId="21" applyNumberFormat="1" applyFont="1" applyFill="1" applyBorder="1" applyAlignment="1">
      <alignment vertical="center"/>
    </xf>
    <xf numFmtId="0" fontId="2" fillId="0" borderId="4" xfId="21" applyNumberFormat="1" applyFont="1" applyFill="1" applyBorder="1"/>
    <xf numFmtId="0" fontId="2" fillId="0" borderId="71" xfId="21" applyNumberFormat="1" applyFont="1" applyFill="1" applyBorder="1" applyAlignment="1">
      <alignment vertical="center"/>
    </xf>
    <xf numFmtId="0" fontId="2" fillId="0" borderId="69" xfId="21" applyNumberFormat="1" applyFont="1" applyFill="1" applyBorder="1"/>
    <xf numFmtId="0" fontId="2" fillId="0" borderId="118" xfId="21" applyNumberFormat="1" applyFont="1" applyFill="1" applyBorder="1" applyAlignment="1">
      <alignment horizontal="center" vertical="center"/>
    </xf>
    <xf numFmtId="2" fontId="2" fillId="0" borderId="0" xfId="21" applyNumberFormat="1" applyFont="1" applyFill="1" applyBorder="1" applyAlignment="1">
      <alignment horizontal="center" vertical="center"/>
    </xf>
    <xf numFmtId="176" fontId="2" fillId="0" borderId="13" xfId="21" applyFont="1" applyFill="1" applyBorder="1" applyAlignment="1">
      <alignment wrapText="1"/>
    </xf>
    <xf numFmtId="2" fontId="2" fillId="0" borderId="14" xfId="21" applyNumberFormat="1" applyFont="1" applyFill="1" applyBorder="1" applyAlignment="1">
      <alignment horizontal="center" vertical="center"/>
    </xf>
    <xf numFmtId="2" fontId="2" fillId="0" borderId="15" xfId="21" applyNumberFormat="1" applyFont="1" applyFill="1" applyBorder="1" applyAlignment="1">
      <alignment horizontal="center" vertical="center"/>
    </xf>
    <xf numFmtId="4" fontId="29" fillId="0" borderId="0" xfId="22" applyNumberFormat="1" applyFont="1" applyFill="1" applyBorder="1" applyAlignment="1">
      <alignment horizontal="left" vertical="center"/>
    </xf>
    <xf numFmtId="0" fontId="30" fillId="0" borderId="0" xfId="22" applyNumberFormat="1" applyFont="1" applyFill="1" applyBorder="1" applyAlignment="1">
      <alignment horizontal="left" vertical="center" wrapText="1"/>
    </xf>
    <xf numFmtId="0" fontId="2" fillId="0" borderId="18" xfId="21" applyNumberFormat="1" applyFont="1" applyFill="1" applyBorder="1"/>
    <xf numFmtId="0" fontId="3" fillId="0" borderId="18" xfId="21" applyNumberFormat="1" applyFont="1" applyFill="1" applyBorder="1"/>
    <xf numFmtId="176" fontId="2" fillId="0" borderId="20" xfId="21" applyFont="1" applyFill="1" applyBorder="1" applyAlignment="1">
      <alignment vertical="center" wrapText="1"/>
    </xf>
    <xf numFmtId="0" fontId="2" fillId="0" borderId="20" xfId="21" applyNumberFormat="1" applyFont="1" applyFill="1" applyBorder="1" applyAlignment="1">
      <alignment horizontal="center" vertical="center"/>
    </xf>
    <xf numFmtId="0" fontId="2" fillId="0" borderId="19" xfId="21" applyNumberFormat="1" applyFont="1" applyFill="1" applyBorder="1" applyAlignment="1">
      <alignment horizontal="center" vertical="center"/>
    </xf>
    <xf numFmtId="0" fontId="2" fillId="0" borderId="13" xfId="21" applyNumberFormat="1" applyFont="1" applyFill="1" applyBorder="1" applyAlignment="1">
      <alignment vertical="center"/>
    </xf>
    <xf numFmtId="0" fontId="2" fillId="0" borderId="15" xfId="21" applyNumberFormat="1" applyFont="1" applyFill="1" applyBorder="1" applyAlignment="1">
      <alignment horizontal="center" vertical="center"/>
    </xf>
    <xf numFmtId="176" fontId="2" fillId="0" borderId="13" xfId="21" applyFont="1" applyFill="1" applyBorder="1" applyAlignment="1"/>
    <xf numFmtId="176" fontId="2" fillId="0" borderId="14" xfId="21" applyFont="1" applyFill="1" applyBorder="1" applyAlignment="1"/>
    <xf numFmtId="176" fontId="2" fillId="0" borderId="15" xfId="21" applyFont="1" applyFill="1" applyBorder="1" applyAlignment="1"/>
    <xf numFmtId="0" fontId="2" fillId="0" borderId="13" xfId="21" applyNumberFormat="1" applyFont="1" applyFill="1" applyBorder="1" applyAlignment="1">
      <alignment horizontal="center" vertical="center"/>
    </xf>
    <xf numFmtId="0" fontId="2" fillId="3" borderId="12" xfId="5" applyFont="1" applyFill="1" applyBorder="1" applyAlignment="1">
      <alignment horizontal="center" vertical="center" wrapText="1"/>
    </xf>
    <xf numFmtId="0" fontId="2" fillId="3" borderId="65" xfId="5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horizontal="center" vertical="center" wrapText="1"/>
    </xf>
    <xf numFmtId="0" fontId="3" fillId="4" borderId="65" xfId="0" applyFont="1" applyFill="1" applyBorder="1" applyAlignment="1">
      <alignment vertical="center" wrapText="1"/>
    </xf>
    <xf numFmtId="0" fontId="28" fillId="0" borderId="20" xfId="0" applyFont="1" applyFill="1" applyBorder="1" applyAlignment="1">
      <alignment horizontal="left" vertical="center" wrapText="1"/>
    </xf>
    <xf numFmtId="168" fontId="2" fillId="0" borderId="70" xfId="1" applyNumberFormat="1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5" fillId="3" borderId="0" xfId="3" applyNumberFormat="1" applyFont="1" applyFill="1" applyAlignment="1">
      <alignment horizontal="left" vertical="center" wrapText="1"/>
    </xf>
    <xf numFmtId="166" fontId="17" fillId="8" borderId="128" xfId="0" applyNumberFormat="1" applyFont="1" applyFill="1" applyBorder="1" applyAlignment="1">
      <alignment horizontal="center" vertical="center"/>
    </xf>
    <xf numFmtId="166" fontId="17" fillId="8" borderId="129" xfId="0" applyNumberFormat="1" applyFont="1" applyFill="1" applyBorder="1" applyAlignment="1">
      <alignment horizontal="center" vertical="center"/>
    </xf>
    <xf numFmtId="0" fontId="31" fillId="0" borderId="0" xfId="0" applyFont="1"/>
    <xf numFmtId="9" fontId="31" fillId="0" borderId="0" xfId="0" applyNumberFormat="1" applyFont="1"/>
    <xf numFmtId="170" fontId="31" fillId="0" borderId="0" xfId="0" applyNumberFormat="1" applyFont="1"/>
    <xf numFmtId="166" fontId="17" fillId="8" borderId="44" xfId="0" applyNumberFormat="1" applyFont="1" applyFill="1" applyBorder="1" applyAlignment="1">
      <alignment vertical="center"/>
    </xf>
    <xf numFmtId="44" fontId="31" fillId="0" borderId="0" xfId="16" applyFont="1"/>
    <xf numFmtId="9" fontId="6" fillId="0" borderId="0" xfId="2" applyFont="1" applyAlignment="1">
      <alignment vertical="center" wrapText="1"/>
    </xf>
    <xf numFmtId="10" fontId="6" fillId="0" borderId="0" xfId="2" applyNumberFormat="1" applyFont="1" applyAlignment="1">
      <alignment vertical="center" wrapText="1"/>
    </xf>
    <xf numFmtId="166" fontId="17" fillId="8" borderId="45" xfId="0" applyNumberFormat="1" applyFont="1" applyFill="1" applyBorder="1" applyAlignment="1">
      <alignment vertical="center"/>
    </xf>
    <xf numFmtId="9" fontId="17" fillId="8" borderId="130" xfId="0" applyNumberFormat="1" applyFont="1" applyFill="1" applyBorder="1" applyAlignment="1">
      <alignment horizontal="center" vertical="center"/>
    </xf>
    <xf numFmtId="9" fontId="17" fillId="8" borderId="127" xfId="0" applyNumberFormat="1" applyFont="1" applyFill="1" applyBorder="1" applyAlignment="1">
      <alignment vertical="center"/>
    </xf>
    <xf numFmtId="166" fontId="17" fillId="0" borderId="132" xfId="0" applyNumberFormat="1" applyFont="1" applyFill="1" applyBorder="1" applyAlignment="1">
      <alignment vertical="center"/>
    </xf>
    <xf numFmtId="166" fontId="17" fillId="8" borderId="132" xfId="0" applyNumberFormat="1" applyFont="1" applyFill="1" applyBorder="1" applyAlignment="1">
      <alignment horizontal="center" vertical="center"/>
    </xf>
    <xf numFmtId="9" fontId="6" fillId="21" borderId="0" xfId="2" applyFont="1" applyFill="1" applyAlignment="1">
      <alignment vertical="center" wrapText="1"/>
    </xf>
    <xf numFmtId="164" fontId="2" fillId="0" borderId="14" xfId="1" applyFont="1" applyFill="1" applyBorder="1" applyAlignment="1">
      <alignment horizontal="center" vertical="center" wrapText="1"/>
    </xf>
    <xf numFmtId="9" fontId="2" fillId="0" borderId="0" xfId="2" applyNumberFormat="1" applyFont="1" applyAlignment="1">
      <alignment vertical="center" wrapText="1"/>
    </xf>
    <xf numFmtId="168" fontId="6" fillId="0" borderId="0" xfId="2" applyNumberFormat="1" applyFont="1" applyAlignment="1">
      <alignment vertical="center" wrapText="1"/>
    </xf>
    <xf numFmtId="168" fontId="2" fillId="0" borderId="0" xfId="0" applyNumberFormat="1" applyFont="1" applyAlignment="1">
      <alignment vertical="center" wrapText="1"/>
    </xf>
    <xf numFmtId="0" fontId="2" fillId="3" borderId="13" xfId="0" applyFont="1" applyFill="1" applyBorder="1" applyAlignment="1">
      <alignment horizontal="left" vertical="center" wrapText="1"/>
    </xf>
    <xf numFmtId="4" fontId="2" fillId="0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13" borderId="13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0" fontId="31" fillId="0" borderId="0" xfId="0" applyNumberFormat="1" applyFont="1"/>
    <xf numFmtId="2" fontId="2" fillId="0" borderId="4" xfId="5" applyNumberFormat="1" applyFont="1" applyFill="1" applyBorder="1" applyAlignment="1">
      <alignment horizontal="center" vertical="center"/>
    </xf>
    <xf numFmtId="2" fontId="0" fillId="0" borderId="18" xfId="0" applyNumberFormat="1" applyBorder="1" applyAlignment="1">
      <alignment horizontal="center"/>
    </xf>
    <xf numFmtId="0" fontId="27" fillId="3" borderId="14" xfId="5" applyFont="1" applyFill="1" applyBorder="1" applyAlignment="1">
      <alignment vertical="center" wrapText="1"/>
    </xf>
    <xf numFmtId="0" fontId="27" fillId="3" borderId="15" xfId="5" applyFont="1" applyFill="1" applyBorder="1" applyAlignment="1">
      <alignment vertical="center" wrapText="1"/>
    </xf>
    <xf numFmtId="0" fontId="27" fillId="3" borderId="13" xfId="5" applyFont="1" applyFill="1" applyBorder="1" applyAlignment="1">
      <alignment vertical="center"/>
    </xf>
    <xf numFmtId="0" fontId="3" fillId="3" borderId="0" xfId="8" applyNumberFormat="1" applyFont="1" applyFill="1" applyAlignment="1">
      <alignment horizontal="center" vertical="center"/>
    </xf>
    <xf numFmtId="0" fontId="3" fillId="0" borderId="10" xfId="0" applyFont="1" applyFill="1" applyBorder="1" applyAlignment="1">
      <alignment horizontal="right" vertical="center" wrapText="1"/>
    </xf>
    <xf numFmtId="0" fontId="3" fillId="0" borderId="134" xfId="0" applyFont="1" applyFill="1" applyBorder="1" applyAlignment="1">
      <alignment horizontal="right" vertical="center" wrapText="1"/>
    </xf>
    <xf numFmtId="168" fontId="3" fillId="0" borderId="0" xfId="0" applyNumberFormat="1" applyFont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vertical="center" wrapText="1"/>
    </xf>
    <xf numFmtId="0" fontId="3" fillId="0" borderId="19" xfId="0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 wrapText="1"/>
    </xf>
    <xf numFmtId="168" fontId="3" fillId="0" borderId="15" xfId="1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4" borderId="14" xfId="5" applyFont="1" applyFill="1" applyBorder="1" applyAlignment="1">
      <alignment horizontal="center" vertical="center"/>
    </xf>
    <xf numFmtId="0" fontId="2" fillId="4" borderId="4" xfId="5" applyFont="1" applyFill="1" applyBorder="1" applyAlignment="1">
      <alignment horizontal="center" vertical="center"/>
    </xf>
    <xf numFmtId="0" fontId="2" fillId="3" borderId="15" xfId="5" applyFont="1" applyFill="1" applyBorder="1" applyAlignment="1">
      <alignment horizontal="center" vertical="center" wrapText="1"/>
    </xf>
    <xf numFmtId="0" fontId="2" fillId="3" borderId="14" xfId="5" applyFont="1" applyFill="1" applyBorder="1" applyAlignment="1">
      <alignment horizontal="center" vertical="center" wrapText="1"/>
    </xf>
    <xf numFmtId="0" fontId="2" fillId="3" borderId="82" xfId="5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0" xfId="0" applyNumberFormat="1"/>
    <xf numFmtId="172" fontId="2" fillId="0" borderId="4" xfId="5" applyNumberFormat="1" applyFont="1" applyFill="1" applyBorder="1" applyAlignment="1">
      <alignment horizontal="center" vertical="center"/>
    </xf>
    <xf numFmtId="177" fontId="2" fillId="0" borderId="20" xfId="5" applyNumberFormat="1" applyFont="1" applyFill="1" applyBorder="1" applyAlignment="1">
      <alignment horizontal="center" vertical="center" wrapText="1"/>
    </xf>
    <xf numFmtId="0" fontId="3" fillId="4" borderId="84" xfId="5" applyFont="1" applyFill="1" applyBorder="1" applyAlignment="1">
      <alignment horizontal="right" vertical="center"/>
    </xf>
    <xf numFmtId="0" fontId="3" fillId="3" borderId="13" xfId="5" applyFont="1" applyFill="1" applyBorder="1" applyAlignment="1">
      <alignment vertical="center"/>
    </xf>
    <xf numFmtId="0" fontId="3" fillId="3" borderId="14" xfId="5" applyFont="1" applyFill="1" applyBorder="1" applyAlignment="1">
      <alignment vertical="center"/>
    </xf>
    <xf numFmtId="0" fontId="3" fillId="3" borderId="15" xfId="5" applyFont="1" applyFill="1" applyBorder="1" applyAlignment="1">
      <alignment vertical="center"/>
    </xf>
    <xf numFmtId="8" fontId="3" fillId="3" borderId="4" xfId="5" applyNumberFormat="1" applyFont="1" applyFill="1" applyBorder="1" applyAlignment="1">
      <alignment horizontal="center" vertical="center"/>
    </xf>
    <xf numFmtId="8" fontId="3" fillId="4" borderId="83" xfId="5" applyNumberFormat="1" applyFont="1" applyFill="1" applyBorder="1" applyAlignment="1">
      <alignment horizontal="right" vertical="center"/>
    </xf>
    <xf numFmtId="0" fontId="3" fillId="0" borderId="0" xfId="5" applyFont="1" applyFill="1" applyBorder="1" applyAlignment="1">
      <alignment horizontal="center" vertical="center"/>
    </xf>
    <xf numFmtId="44" fontId="3" fillId="0" borderId="0" xfId="5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3" fillId="3" borderId="12" xfId="5" applyFont="1" applyFill="1" applyBorder="1" applyAlignment="1">
      <alignment horizontal="center" vertical="center"/>
    </xf>
    <xf numFmtId="8" fontId="3" fillId="3" borderId="12" xfId="5" applyNumberFormat="1" applyFont="1" applyFill="1" applyBorder="1" applyAlignment="1">
      <alignment horizontal="center" vertical="center"/>
    </xf>
    <xf numFmtId="44" fontId="3" fillId="4" borderId="83" xfId="5" applyNumberFormat="1" applyFont="1" applyFill="1" applyBorder="1" applyAlignment="1">
      <alignment horizontal="right" vertical="center"/>
    </xf>
    <xf numFmtId="0" fontId="3" fillId="0" borderId="0" xfId="5" applyFont="1" applyAlignment="1">
      <alignment horizontal="center" vertical="center"/>
    </xf>
    <xf numFmtId="8" fontId="3" fillId="0" borderId="8" xfId="5" applyNumberFormat="1" applyFont="1" applyBorder="1" applyAlignment="1">
      <alignment horizontal="right" vertical="center"/>
    </xf>
    <xf numFmtId="175" fontId="3" fillId="3" borderId="4" xfId="5" applyNumberFormat="1" applyFont="1" applyFill="1" applyBorder="1" applyAlignment="1">
      <alignment horizontal="center" vertical="center"/>
    </xf>
    <xf numFmtId="175" fontId="2" fillId="3" borderId="83" xfId="5" applyNumberFormat="1" applyFont="1" applyFill="1" applyBorder="1" applyAlignment="1">
      <alignment horizontal="right" vertical="center"/>
    </xf>
    <xf numFmtId="175" fontId="3" fillId="4" borderId="83" xfId="5" applyNumberFormat="1" applyFont="1" applyFill="1" applyBorder="1" applyAlignment="1">
      <alignment horizontal="righ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40" fontId="0" fillId="8" borderId="0" xfId="0" applyNumberFormat="1" applyFill="1" applyAlignment="1">
      <alignment horizontal="center"/>
    </xf>
    <xf numFmtId="0" fontId="2" fillId="0" borderId="0" xfId="0" applyFont="1" applyAlignment="1">
      <alignment horizontal="center" vertical="center"/>
    </xf>
    <xf numFmtId="40" fontId="2" fillId="8" borderId="15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 wrapText="1"/>
    </xf>
    <xf numFmtId="40" fontId="2" fillId="8" borderId="0" xfId="0" applyNumberFormat="1" applyFont="1" applyFill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8" fontId="2" fillId="0" borderId="4" xfId="5" applyNumberFormat="1" applyFont="1" applyFill="1" applyBorder="1" applyAlignment="1">
      <alignment horizontal="center" vertical="center"/>
    </xf>
    <xf numFmtId="0" fontId="3" fillId="0" borderId="83" xfId="5" applyFont="1" applyFill="1" applyBorder="1" applyAlignment="1">
      <alignment horizontal="center" vertical="center"/>
    </xf>
    <xf numFmtId="0" fontId="3" fillId="0" borderId="0" xfId="0" applyFont="1"/>
    <xf numFmtId="40" fontId="3" fillId="8" borderId="0" xfId="0" applyNumberFormat="1" applyFont="1" applyFill="1" applyAlignment="1">
      <alignment horizontal="center"/>
    </xf>
    <xf numFmtId="2" fontId="0" fillId="0" borderId="8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40" fontId="2" fillId="8" borderId="0" xfId="0" applyNumberFormat="1" applyFont="1" applyFill="1" applyAlignment="1">
      <alignment horizontal="left" vertical="center"/>
    </xf>
    <xf numFmtId="0" fontId="3" fillId="8" borderId="0" xfId="0" applyFont="1" applyFill="1" applyAlignment="1">
      <alignment horizontal="center" vertical="center"/>
    </xf>
    <xf numFmtId="40" fontId="3" fillId="8" borderId="0" xfId="0" applyNumberFormat="1" applyFont="1" applyFill="1" applyAlignment="1">
      <alignment horizont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8" fontId="2" fillId="0" borderId="4" xfId="5" applyNumberFormat="1" applyFill="1" applyBorder="1" applyAlignment="1">
      <alignment horizontal="right" vertical="center"/>
    </xf>
    <xf numFmtId="44" fontId="2" fillId="0" borderId="4" xfId="5" applyNumberFormat="1" applyFont="1" applyFill="1" applyBorder="1" applyAlignment="1">
      <alignment horizontal="right" vertical="center" wrapText="1"/>
    </xf>
    <xf numFmtId="44" fontId="2" fillId="0" borderId="20" xfId="5" applyNumberFormat="1" applyFont="1" applyFill="1" applyBorder="1" applyAlignment="1">
      <alignment horizontal="right" vertical="center" wrapText="1"/>
    </xf>
    <xf numFmtId="44" fontId="2" fillId="0" borderId="4" xfId="19" applyFont="1" applyFill="1" applyBorder="1" applyAlignment="1">
      <alignment horizontal="center" vertical="center"/>
    </xf>
    <xf numFmtId="44" fontId="2" fillId="0" borderId="4" xfId="19" applyFont="1" applyFill="1" applyBorder="1" applyAlignment="1">
      <alignment horizontal="center" vertical="center" wrapText="1"/>
    </xf>
    <xf numFmtId="44" fontId="2" fillId="0" borderId="13" xfId="5" applyNumberFormat="1" applyFont="1" applyFill="1" applyBorder="1" applyAlignment="1">
      <alignment horizontal="right" vertical="center" wrapText="1"/>
    </xf>
    <xf numFmtId="168" fontId="3" fillId="0" borderId="14" xfId="0" applyNumberFormat="1" applyFont="1" applyFill="1" applyBorder="1" applyAlignment="1">
      <alignment horizontal="righ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4" borderId="82" xfId="5" applyFont="1" applyFill="1" applyBorder="1" applyAlignment="1">
      <alignment horizontal="center" vertical="center"/>
    </xf>
    <xf numFmtId="0" fontId="3" fillId="4" borderId="4" xfId="5" applyFont="1" applyFill="1" applyBorder="1" applyAlignment="1">
      <alignment horizontal="center" vertical="center"/>
    </xf>
    <xf numFmtId="0" fontId="2" fillId="4" borderId="82" xfId="5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/>
    </xf>
    <xf numFmtId="0" fontId="2" fillId="3" borderId="15" xfId="5" applyFont="1" applyFill="1" applyBorder="1" applyAlignment="1">
      <alignment horizontal="center" vertical="center" wrapText="1"/>
    </xf>
    <xf numFmtId="0" fontId="2" fillId="3" borderId="82" xfId="5" applyFill="1" applyBorder="1" applyAlignment="1">
      <alignment horizontal="center" vertical="center" wrapText="1"/>
    </xf>
    <xf numFmtId="0" fontId="3" fillId="3" borderId="4" xfId="5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40" fontId="2" fillId="15" borderId="13" xfId="0" applyNumberFormat="1" applyFont="1" applyFill="1" applyBorder="1" applyAlignment="1">
      <alignment horizontal="center"/>
    </xf>
    <xf numFmtId="40" fontId="2" fillId="8" borderId="4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40" fontId="2" fillId="8" borderId="0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/>
    </xf>
    <xf numFmtId="40" fontId="2" fillId="8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0" fontId="2" fillId="8" borderId="0" xfId="0" applyNumberFormat="1" applyFont="1" applyFill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Alignment="1">
      <alignment horizontal="left"/>
    </xf>
    <xf numFmtId="40" fontId="2" fillId="8" borderId="13" xfId="0" applyNumberFormat="1" applyFont="1" applyFill="1" applyBorder="1" applyAlignment="1">
      <alignment horizontal="center" vertical="center" wrapText="1"/>
    </xf>
    <xf numFmtId="40" fontId="2" fillId="8" borderId="14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left" vertical="center" wrapText="1"/>
    </xf>
    <xf numFmtId="40" fontId="3" fillId="8" borderId="0" xfId="0" applyNumberFormat="1" applyFont="1" applyFill="1" applyAlignment="1">
      <alignment vertical="center" wrapText="1"/>
    </xf>
    <xf numFmtId="40" fontId="2" fillId="8" borderId="0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 vertical="center" wrapText="1"/>
    </xf>
    <xf numFmtId="40" fontId="3" fillId="8" borderId="2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Border="1" applyAlignment="1">
      <alignment horizontal="left" vertical="center" wrapText="1"/>
    </xf>
    <xf numFmtId="40" fontId="2" fillId="8" borderId="18" xfId="0" applyNumberFormat="1" applyFont="1" applyFill="1" applyBorder="1" applyAlignment="1">
      <alignment horizontal="left" vertical="center" wrapText="1"/>
    </xf>
    <xf numFmtId="40" fontId="2" fillId="8" borderId="69" xfId="0" applyNumberFormat="1" applyFont="1" applyFill="1" applyBorder="1" applyAlignment="1">
      <alignment vertical="center" wrapText="1"/>
    </xf>
    <xf numFmtId="40" fontId="2" fillId="8" borderId="70" xfId="0" applyNumberFormat="1" applyFont="1" applyFill="1" applyBorder="1" applyAlignment="1">
      <alignment vertical="center" wrapText="1"/>
    </xf>
    <xf numFmtId="40" fontId="2" fillId="8" borderId="18" xfId="0" applyNumberFormat="1" applyFont="1" applyFill="1" applyBorder="1" applyAlignment="1">
      <alignment horizontal="center" vertical="center" wrapText="1"/>
    </xf>
    <xf numFmtId="40" fontId="2" fillId="8" borderId="69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3" fillId="2" borderId="122" xfId="0" applyFont="1" applyFill="1" applyBorder="1" applyAlignment="1">
      <alignment horizontal="center"/>
    </xf>
    <xf numFmtId="40" fontId="2" fillId="8" borderId="0" xfId="0" applyNumberFormat="1" applyFont="1" applyFill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2" fillId="0" borderId="13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33" fillId="0" borderId="0" xfId="0" applyFont="1"/>
    <xf numFmtId="0" fontId="0" fillId="0" borderId="2" xfId="0" applyBorder="1" applyAlignment="1">
      <alignment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164" fontId="2" fillId="0" borderId="18" xfId="1" applyFont="1" applyFill="1" applyBorder="1" applyAlignment="1">
      <alignment horizontal="center" vertical="center" wrapText="1"/>
    </xf>
    <xf numFmtId="168" fontId="6" fillId="0" borderId="21" xfId="1" applyNumberFormat="1" applyFont="1" applyFill="1" applyBorder="1" applyAlignment="1">
      <alignment horizontal="righ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4" borderId="86" xfId="12" applyFont="1" applyFill="1" applyBorder="1" applyAlignment="1">
      <alignment horizontal="left" vertical="center" wrapText="1"/>
    </xf>
    <xf numFmtId="4" fontId="3" fillId="4" borderId="4" xfId="12" applyNumberFormat="1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right"/>
    </xf>
    <xf numFmtId="0" fontId="3" fillId="4" borderId="4" xfId="5" applyFont="1" applyFill="1" applyBorder="1" applyAlignment="1">
      <alignment horizontal="center" vertical="center"/>
    </xf>
    <xf numFmtId="0" fontId="3" fillId="4" borderId="82" xfId="5" applyFont="1" applyFill="1" applyBorder="1" applyAlignment="1">
      <alignment horizontal="center" vertical="center"/>
    </xf>
    <xf numFmtId="0" fontId="3" fillId="3" borderId="4" xfId="5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3" fillId="4" borderId="14" xfId="5" applyFont="1" applyFill="1" applyBorder="1"/>
    <xf numFmtId="0" fontId="3" fillId="4" borderId="84" xfId="5" applyFont="1" applyFill="1" applyBorder="1" applyAlignment="1">
      <alignment horizontal="right"/>
    </xf>
    <xf numFmtId="0" fontId="2" fillId="0" borderId="82" xfId="0" applyFont="1" applyBorder="1" applyAlignment="1">
      <alignment horizontal="center" vertical="center" wrapText="1"/>
    </xf>
    <xf numFmtId="0" fontId="2" fillId="4" borderId="14" xfId="5" applyFill="1" applyBorder="1" applyAlignment="1">
      <alignment vertical="center"/>
    </xf>
    <xf numFmtId="0" fontId="3" fillId="4" borderId="14" xfId="5" applyFont="1" applyFill="1" applyBorder="1" applyAlignment="1">
      <alignment vertical="center"/>
    </xf>
    <xf numFmtId="0" fontId="2" fillId="4" borderId="15" xfId="5" applyFill="1" applyBorder="1" applyAlignment="1">
      <alignment vertical="center"/>
    </xf>
    <xf numFmtId="0" fontId="3" fillId="3" borderId="14" xfId="5" applyFont="1" applyFill="1" applyBorder="1"/>
    <xf numFmtId="0" fontId="3" fillId="3" borderId="15" xfId="5" applyFont="1" applyFill="1" applyBorder="1"/>
    <xf numFmtId="0" fontId="3" fillId="3" borderId="4" xfId="5" applyFont="1" applyFill="1" applyBorder="1" applyAlignment="1">
      <alignment horizontal="center"/>
    </xf>
    <xf numFmtId="175" fontId="2" fillId="3" borderId="83" xfId="5" applyNumberFormat="1" applyFill="1" applyBorder="1" applyAlignment="1">
      <alignment horizontal="right"/>
    </xf>
    <xf numFmtId="0" fontId="3" fillId="4" borderId="4" xfId="5" applyFont="1" applyFill="1" applyBorder="1" applyAlignment="1">
      <alignment horizontal="center"/>
    </xf>
    <xf numFmtId="175" fontId="3" fillId="4" borderId="83" xfId="5" applyNumberFormat="1" applyFont="1" applyFill="1" applyBorder="1" applyAlignment="1">
      <alignment horizontal="right"/>
    </xf>
    <xf numFmtId="0" fontId="2" fillId="0" borderId="107" xfId="5" applyBorder="1" applyAlignment="1">
      <alignment horizontal="center" vertical="center"/>
    </xf>
    <xf numFmtId="0" fontId="2" fillId="0" borderId="69" xfId="5" applyBorder="1" applyAlignment="1">
      <alignment horizontal="center" vertical="center"/>
    </xf>
    <xf numFmtId="0" fontId="3" fillId="0" borderId="69" xfId="5" applyFont="1" applyBorder="1" applyAlignment="1">
      <alignment horizontal="center"/>
    </xf>
    <xf numFmtId="175" fontId="3" fillId="0" borderId="69" xfId="5" applyNumberFormat="1" applyFont="1" applyBorder="1" applyAlignment="1">
      <alignment horizontal="center" vertical="center"/>
    </xf>
    <xf numFmtId="175" fontId="3" fillId="0" borderId="108" xfId="5" applyNumberFormat="1" applyFont="1" applyBorder="1" applyAlignment="1">
      <alignment horizontal="right"/>
    </xf>
    <xf numFmtId="0" fontId="3" fillId="0" borderId="64" xfId="0" applyFont="1" applyBorder="1" applyAlignment="1">
      <alignment horizontal="center" vertical="center" wrapText="1"/>
    </xf>
    <xf numFmtId="0" fontId="2" fillId="0" borderId="4" xfId="12" applyBorder="1" applyAlignment="1">
      <alignment horizontal="center" vertical="center"/>
    </xf>
    <xf numFmtId="2" fontId="2" fillId="0" borderId="4" xfId="12" applyNumberFormat="1" applyBorder="1" applyAlignment="1">
      <alignment horizontal="center" vertical="center"/>
    </xf>
    <xf numFmtId="44" fontId="2" fillId="0" borderId="4" xfId="17" applyNumberFormat="1" applyFont="1" applyFill="1" applyBorder="1" applyAlignment="1">
      <alignment horizontal="center" vertical="center" wrapText="1"/>
    </xf>
    <xf numFmtId="4" fontId="28" fillId="0" borderId="4" xfId="0" applyNumberFormat="1" applyFont="1" applyFill="1" applyBorder="1" applyAlignment="1">
      <alignment horizontal="left" vertical="center" wrapText="1"/>
    </xf>
    <xf numFmtId="0" fontId="2" fillId="3" borderId="14" xfId="5" applyFill="1" applyBorder="1" applyAlignment="1">
      <alignment horizontal="center" vertical="center" wrapText="1"/>
    </xf>
    <xf numFmtId="0" fontId="2" fillId="3" borderId="82" xfId="5" applyFill="1" applyBorder="1" applyAlignment="1">
      <alignment horizontal="center" vertical="center" wrapText="1"/>
    </xf>
    <xf numFmtId="0" fontId="2" fillId="3" borderId="15" xfId="5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center" vertical="center" wrapText="1"/>
    </xf>
    <xf numFmtId="44" fontId="2" fillId="0" borderId="4" xfId="5" applyNumberFormat="1" applyFill="1" applyBorder="1" applyAlignment="1">
      <alignment horizontal="right" vertical="center"/>
    </xf>
    <xf numFmtId="44" fontId="2" fillId="0" borderId="4" xfId="5" applyNumberFormat="1" applyFont="1" applyFill="1" applyBorder="1" applyAlignment="1">
      <alignment horizontal="center" vertical="center"/>
    </xf>
    <xf numFmtId="44" fontId="2" fillId="0" borderId="14" xfId="1" applyNumberFormat="1" applyFont="1" applyFill="1" applyBorder="1" applyAlignment="1">
      <alignment horizontal="right" vertical="center" wrapText="1"/>
    </xf>
    <xf numFmtId="44" fontId="2" fillId="0" borderId="4" xfId="1" applyNumberFormat="1" applyFont="1" applyFill="1" applyBorder="1" applyAlignment="1">
      <alignment horizontal="right" vertical="center" wrapText="1"/>
    </xf>
    <xf numFmtId="44" fontId="2" fillId="0" borderId="4" xfId="5" applyNumberFormat="1" applyFont="1" applyFill="1" applyBorder="1" applyAlignment="1">
      <alignment horizontal="center" vertical="center" wrapText="1"/>
    </xf>
    <xf numFmtId="44" fontId="2" fillId="3" borderId="83" xfId="5" applyNumberFormat="1" applyFill="1" applyBorder="1" applyAlignment="1">
      <alignment horizontal="right" vertical="center"/>
    </xf>
    <xf numFmtId="44" fontId="2" fillId="3" borderId="83" xfId="5" applyNumberFormat="1" applyFill="1" applyBorder="1" applyAlignment="1">
      <alignment horizontal="center" vertical="center"/>
    </xf>
    <xf numFmtId="44" fontId="3" fillId="4" borderId="83" xfId="5" applyNumberFormat="1" applyFont="1" applyFill="1" applyBorder="1" applyAlignment="1">
      <alignment horizontal="center" vertical="center"/>
    </xf>
    <xf numFmtId="44" fontId="2" fillId="0" borderId="4" xfId="5" applyNumberFormat="1" applyFont="1" applyFill="1" applyBorder="1" applyAlignment="1">
      <alignment horizontal="right" vertical="center"/>
    </xf>
    <xf numFmtId="44" fontId="2" fillId="3" borderId="4" xfId="5" applyNumberFormat="1" applyFill="1" applyBorder="1" applyAlignment="1">
      <alignment horizontal="center" vertical="center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left" vertical="center" wrapText="1"/>
    </xf>
    <xf numFmtId="40" fontId="2" fillId="8" borderId="19" xfId="0" applyNumberFormat="1" applyFont="1" applyFill="1" applyBorder="1" applyAlignment="1">
      <alignment horizontal="center" vertical="center"/>
    </xf>
    <xf numFmtId="40" fontId="2" fillId="8" borderId="0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/>
    </xf>
    <xf numFmtId="0" fontId="2" fillId="0" borderId="122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40" fontId="3" fillId="8" borderId="15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2" fillId="0" borderId="0" xfId="0" applyFont="1" applyBorder="1" applyAlignment="1">
      <alignment horizontal="center"/>
    </xf>
    <xf numFmtId="40" fontId="2" fillId="8" borderId="0" xfId="0" applyNumberFormat="1" applyFont="1" applyFill="1" applyAlignment="1">
      <alignment horizontal="center"/>
    </xf>
    <xf numFmtId="0" fontId="2" fillId="3" borderId="82" xfId="5" applyFill="1" applyBorder="1" applyAlignment="1">
      <alignment horizontal="center" vertical="center" wrapText="1"/>
    </xf>
    <xf numFmtId="0" fontId="3" fillId="4" borderId="4" xfId="5" applyFont="1" applyFill="1" applyBorder="1" applyAlignment="1">
      <alignment horizontal="center" vertical="center"/>
    </xf>
    <xf numFmtId="0" fontId="3" fillId="4" borderId="82" xfId="5" applyFont="1" applyFill="1" applyBorder="1" applyAlignment="1">
      <alignment horizontal="center" vertical="center"/>
    </xf>
    <xf numFmtId="0" fontId="3" fillId="3" borderId="4" xfId="5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40" fontId="2" fillId="8" borderId="4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left" vertical="center" wrapText="1"/>
    </xf>
    <xf numFmtId="40" fontId="2" fillId="8" borderId="1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40" fontId="2" fillId="8" borderId="0" xfId="0" applyNumberFormat="1" applyFont="1" applyFill="1" applyBorder="1" applyAlignment="1">
      <alignment horizontal="center" vertical="center" wrapText="1"/>
    </xf>
    <xf numFmtId="40" fontId="2" fillId="0" borderId="0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/>
    </xf>
    <xf numFmtId="0" fontId="3" fillId="20" borderId="115" xfId="0" applyFont="1" applyFill="1" applyBorder="1" applyAlignment="1">
      <alignment horizontal="center" vertical="center"/>
    </xf>
    <xf numFmtId="40" fontId="2" fillId="8" borderId="0" xfId="0" applyNumberFormat="1" applyFont="1" applyFill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0" fontId="2" fillId="0" borderId="4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40" fontId="3" fillId="8" borderId="12" xfId="0" applyNumberFormat="1" applyFont="1" applyFill="1" applyBorder="1" applyAlignment="1">
      <alignment horizontal="center" vertical="center"/>
    </xf>
    <xf numFmtId="2" fontId="2" fillId="8" borderId="64" xfId="0" applyNumberFormat="1" applyFont="1" applyFill="1" applyBorder="1" applyAlignment="1">
      <alignment horizontal="center"/>
    </xf>
    <xf numFmtId="2" fontId="2" fillId="8" borderId="65" xfId="0" applyNumberFormat="1" applyFont="1" applyFill="1" applyBorder="1" applyAlignment="1">
      <alignment horizontal="center"/>
    </xf>
    <xf numFmtId="2" fontId="2" fillId="8" borderId="66" xfId="0" applyNumberFormat="1" applyFont="1" applyFill="1" applyBorder="1" applyAlignment="1">
      <alignment horizontal="center"/>
    </xf>
    <xf numFmtId="0" fontId="3" fillId="17" borderId="0" xfId="0" applyFont="1" applyFill="1" applyBorder="1" applyAlignment="1">
      <alignment horizontal="center" vertical="center"/>
    </xf>
    <xf numFmtId="2" fontId="3" fillId="17" borderId="18" xfId="0" applyNumberFormat="1" applyFont="1" applyFill="1" applyBorder="1" applyAlignment="1">
      <alignment horizontal="center"/>
    </xf>
    <xf numFmtId="40" fontId="0" fillId="0" borderId="7" xfId="0" applyNumberFormat="1" applyBorder="1" applyAlignment="1">
      <alignment horizontal="center" vertical="center"/>
    </xf>
    <xf numFmtId="40" fontId="2" fillId="0" borderId="7" xfId="0" applyNumberFormat="1" applyFont="1" applyBorder="1" applyAlignment="1">
      <alignment horizontal="center" vertical="center"/>
    </xf>
    <xf numFmtId="40" fontId="0" fillId="0" borderId="7" xfId="0" applyNumberFormat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4" fontId="2" fillId="0" borderId="14" xfId="0" applyNumberFormat="1" applyFont="1" applyBorder="1" applyAlignment="1">
      <alignment horizontal="left" vertical="center" wrapText="1"/>
    </xf>
    <xf numFmtId="0" fontId="3" fillId="4" borderId="4" xfId="5" applyFont="1" applyFill="1" applyBorder="1" applyAlignment="1">
      <alignment horizontal="center" vertical="center"/>
    </xf>
    <xf numFmtId="0" fontId="2" fillId="3" borderId="82" xfId="5" applyFill="1" applyBorder="1" applyAlignment="1">
      <alignment horizontal="center" vertical="center" wrapText="1"/>
    </xf>
    <xf numFmtId="0" fontId="2" fillId="3" borderId="15" xfId="5" applyFill="1" applyBorder="1" applyAlignment="1">
      <alignment horizontal="center" vertical="center" wrapText="1"/>
    </xf>
    <xf numFmtId="0" fontId="3" fillId="3" borderId="14" xfId="5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3" borderId="4" xfId="5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21" fillId="3" borderId="0" xfId="3" applyNumberFormat="1" applyFont="1" applyFill="1" applyAlignment="1">
      <alignment horizontal="left" vertical="top" wrapText="1"/>
    </xf>
    <xf numFmtId="0" fontId="3" fillId="2" borderId="6" xfId="12" applyFont="1" applyFill="1" applyBorder="1" applyAlignment="1">
      <alignment horizontal="center"/>
    </xf>
    <xf numFmtId="40" fontId="3" fillId="3" borderId="0" xfId="3" applyNumberFormat="1" applyFont="1" applyFill="1" applyAlignment="1">
      <alignment horizontal="left" wrapText="1"/>
    </xf>
    <xf numFmtId="40" fontId="3" fillId="3" borderId="0" xfId="3" applyNumberFormat="1" applyFont="1" applyFill="1" applyAlignment="1">
      <alignment horizontal="left" vertical="top" wrapText="1"/>
    </xf>
    <xf numFmtId="0" fontId="2" fillId="0" borderId="12" xfId="0" applyFont="1" applyBorder="1" applyAlignment="1">
      <alignment horizontal="center" vertical="center" wrapText="1"/>
    </xf>
    <xf numFmtId="40" fontId="3" fillId="3" borderId="0" xfId="3" applyNumberFormat="1" applyFont="1" applyFill="1" applyAlignment="1">
      <alignment horizontal="left" vertical="center" wrapText="1"/>
    </xf>
    <xf numFmtId="40" fontId="3" fillId="8" borderId="4" xfId="0" applyNumberFormat="1" applyFont="1" applyFill="1" applyBorder="1" applyAlignment="1">
      <alignment horizontal="left" wrapText="1"/>
    </xf>
    <xf numFmtId="40" fontId="2" fillId="8" borderId="4" xfId="0" applyNumberFormat="1" applyFont="1" applyFill="1" applyBorder="1" applyAlignment="1">
      <alignment horizontal="left" vertical="center" wrapText="1"/>
    </xf>
    <xf numFmtId="0" fontId="0" fillId="20" borderId="64" xfId="0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wrapText="1"/>
    </xf>
    <xf numFmtId="0" fontId="2" fillId="20" borderId="64" xfId="0" applyFont="1" applyFill="1" applyBorder="1" applyAlignment="1">
      <alignment horizontal="center" vertical="center"/>
    </xf>
    <xf numFmtId="0" fontId="2" fillId="20" borderId="66" xfId="0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 wrapText="1"/>
    </xf>
    <xf numFmtId="2" fontId="5" fillId="20" borderId="4" xfId="0" applyNumberFormat="1" applyFont="1" applyFill="1" applyBorder="1" applyAlignment="1">
      <alignment horizontal="center" vertical="center"/>
    </xf>
    <xf numFmtId="173" fontId="5" fillId="20" borderId="4" xfId="0" applyNumberFormat="1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40" fontId="3" fillId="0" borderId="4" xfId="0" applyNumberFormat="1" applyFont="1" applyBorder="1" applyAlignment="1">
      <alignment horizontal="center" vertical="center"/>
    </xf>
    <xf numFmtId="44" fontId="2" fillId="0" borderId="0" xfId="16" applyFont="1" applyAlignment="1">
      <alignment vertical="center" wrapText="1"/>
    </xf>
    <xf numFmtId="40" fontId="2" fillId="0" borderId="0" xfId="0" applyNumberFormat="1" applyFont="1" applyFill="1" applyBorder="1" applyAlignment="1">
      <alignment vertical="center" wrapText="1"/>
    </xf>
    <xf numFmtId="8" fontId="2" fillId="0" borderId="4" xfId="0" applyNumberFormat="1" applyFont="1" applyFill="1" applyBorder="1" applyAlignment="1">
      <alignment horizontal="center" vertical="center" wrapText="1"/>
    </xf>
    <xf numFmtId="0" fontId="2" fillId="3" borderId="82" xfId="5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0" fontId="3" fillId="8" borderId="0" xfId="0" applyFont="1" applyFill="1" applyAlignment="1">
      <alignment horizontal="left" wrapText="1"/>
    </xf>
    <xf numFmtId="40" fontId="2" fillId="15" borderId="13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left"/>
    </xf>
    <xf numFmtId="40" fontId="3" fillId="8" borderId="0" xfId="0" applyNumberFormat="1" applyFont="1" applyFill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5" fillId="3" borderId="0" xfId="3" applyNumberFormat="1" applyFont="1" applyFill="1" applyAlignment="1">
      <alignment horizontal="left" vertical="center" wrapText="1"/>
    </xf>
    <xf numFmtId="0" fontId="2" fillId="0" borderId="4" xfId="21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164" fontId="2" fillId="0" borderId="4" xfId="1" applyFont="1" applyFill="1" applyBorder="1" applyAlignment="1">
      <alignment vertical="center" wrapText="1"/>
    </xf>
    <xf numFmtId="0" fontId="2" fillId="0" borderId="17" xfId="0" applyFont="1" applyBorder="1" applyAlignment="1">
      <alignment horizontal="left" vertical="center" wrapText="1"/>
    </xf>
    <xf numFmtId="4" fontId="3" fillId="0" borderId="17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vertical="center" wrapText="1"/>
    </xf>
    <xf numFmtId="4" fontId="3" fillId="0" borderId="4" xfId="0" applyNumberFormat="1" applyFont="1" applyBorder="1" applyAlignment="1">
      <alignment horizontal="left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4" fontId="2" fillId="0" borderId="0" xfId="1" applyFont="1" applyFill="1" applyAlignment="1">
      <alignment horizontal="center" vertical="center" wrapText="1"/>
    </xf>
    <xf numFmtId="4" fontId="3" fillId="0" borderId="12" xfId="0" applyNumberFormat="1" applyFont="1" applyBorder="1" applyAlignment="1">
      <alignment horizontal="center" vertical="center" wrapText="1"/>
    </xf>
    <xf numFmtId="4" fontId="2" fillId="0" borderId="14" xfId="0" applyNumberFormat="1" applyFont="1" applyBorder="1" applyAlignment="1">
      <alignment vertical="center" wrapText="1"/>
    </xf>
    <xf numFmtId="4" fontId="2" fillId="0" borderId="4" xfId="0" applyNumberFormat="1" applyFont="1" applyBorder="1" applyAlignment="1">
      <alignment horizontal="left" vertical="center" wrapText="1"/>
    </xf>
    <xf numFmtId="0" fontId="12" fillId="0" borderId="0" xfId="12" applyFont="1"/>
    <xf numFmtId="0" fontId="2" fillId="0" borderId="0" xfId="12" applyAlignment="1">
      <alignment vertical="center"/>
    </xf>
    <xf numFmtId="40" fontId="5" fillId="3" borderId="0" xfId="3" applyNumberFormat="1" applyFont="1" applyFill="1" applyAlignment="1">
      <alignment horizontal="center" vertical="center"/>
    </xf>
    <xf numFmtId="40" fontId="8" fillId="3" borderId="0" xfId="3" applyNumberFormat="1" applyFont="1" applyFill="1" applyAlignment="1">
      <alignment horizontal="left" vertical="center" wrapText="1"/>
    </xf>
    <xf numFmtId="40" fontId="2" fillId="3" borderId="0" xfId="3" applyNumberFormat="1" applyFill="1" applyAlignment="1">
      <alignment horizontal="left" vertical="center" wrapText="1"/>
    </xf>
    <xf numFmtId="40" fontId="3" fillId="2" borderId="15" xfId="3" applyNumberFormat="1" applyFont="1" applyFill="1" applyBorder="1" applyAlignment="1">
      <alignment horizontal="center" vertical="center"/>
    </xf>
    <xf numFmtId="40" fontId="3" fillId="2" borderId="14" xfId="3" applyNumberFormat="1" applyFont="1" applyFill="1" applyBorder="1" applyAlignment="1">
      <alignment horizontal="center" vertical="center"/>
    </xf>
    <xf numFmtId="40" fontId="3" fillId="2" borderId="13" xfId="3" applyNumberFormat="1" applyFont="1" applyFill="1" applyBorder="1" applyAlignment="1">
      <alignment horizontal="center" vertical="center"/>
    </xf>
    <xf numFmtId="40" fontId="19" fillId="0" borderId="0" xfId="3" applyNumberFormat="1" applyFont="1" applyAlignment="1">
      <alignment horizontal="center" vertical="center"/>
    </xf>
    <xf numFmtId="40" fontId="19" fillId="3" borderId="0" xfId="3" applyNumberFormat="1" applyFont="1" applyFill="1" applyAlignment="1">
      <alignment horizontal="center" vertical="center"/>
    </xf>
    <xf numFmtId="40" fontId="3" fillId="3" borderId="0" xfId="3" applyNumberFormat="1" applyFont="1" applyFill="1" applyAlignment="1">
      <alignment vertical="top" wrapText="1"/>
    </xf>
    <xf numFmtId="40" fontId="21" fillId="3" borderId="0" xfId="3" applyNumberFormat="1" applyFont="1" applyFill="1" applyAlignment="1">
      <alignment horizontal="left" vertical="center" wrapText="1"/>
    </xf>
    <xf numFmtId="40" fontId="19" fillId="0" borderId="0" xfId="12" applyNumberFormat="1" applyFont="1" applyAlignment="1">
      <alignment horizontal="center" vertical="center"/>
    </xf>
    <xf numFmtId="0" fontId="2" fillId="3" borderId="0" xfId="12" applyFill="1" applyAlignment="1">
      <alignment vertical="center"/>
    </xf>
    <xf numFmtId="2" fontId="2" fillId="3" borderId="0" xfId="12" applyNumberFormat="1" applyFill="1" applyAlignment="1">
      <alignment horizontal="center" vertical="center"/>
    </xf>
    <xf numFmtId="2" fontId="2" fillId="3" borderId="4" xfId="12" applyNumberFormat="1" applyFill="1" applyBorder="1" applyAlignment="1">
      <alignment horizontal="center" vertical="center"/>
    </xf>
    <xf numFmtId="2" fontId="19" fillId="3" borderId="4" xfId="3" applyNumberFormat="1" applyFont="1" applyFill="1" applyBorder="1" applyAlignment="1">
      <alignment horizontal="center" vertical="center"/>
    </xf>
    <xf numFmtId="2" fontId="19" fillId="3" borderId="0" xfId="3" applyNumberFormat="1" applyFont="1" applyFill="1" applyAlignment="1">
      <alignment horizontal="center" vertical="center"/>
    </xf>
    <xf numFmtId="0" fontId="3" fillId="3" borderId="0" xfId="12" applyFont="1" applyFill="1" applyAlignment="1">
      <alignment horizontal="center" vertical="center"/>
    </xf>
    <xf numFmtId="0" fontId="3" fillId="3" borderId="4" xfId="12" applyFont="1" applyFill="1" applyBorder="1" applyAlignment="1">
      <alignment horizontal="center" vertical="center"/>
    </xf>
    <xf numFmtId="40" fontId="5" fillId="3" borderId="4" xfId="3" applyNumberFormat="1" applyFont="1" applyFill="1" applyBorder="1" applyAlignment="1">
      <alignment horizontal="center" vertical="center"/>
    </xf>
    <xf numFmtId="40" fontId="2" fillId="3" borderId="4" xfId="3" applyNumberFormat="1" applyFill="1" applyBorder="1" applyAlignment="1">
      <alignment horizontal="center" vertical="center" wrapText="1"/>
    </xf>
    <xf numFmtId="0" fontId="3" fillId="8" borderId="0" xfId="12" applyFont="1" applyFill="1" applyAlignment="1">
      <alignment horizontal="center" vertical="top" wrapText="1"/>
    </xf>
    <xf numFmtId="40" fontId="25" fillId="8" borderId="0" xfId="12" applyNumberFormat="1" applyFont="1" applyFill="1" applyAlignment="1">
      <alignment horizontal="center" vertical="top" wrapText="1"/>
    </xf>
    <xf numFmtId="40" fontId="35" fillId="3" borderId="0" xfId="3" applyNumberFormat="1" applyFont="1" applyFill="1"/>
    <xf numFmtId="40" fontId="2" fillId="3" borderId="0" xfId="3" applyNumberFormat="1" applyFill="1" applyAlignment="1">
      <alignment horizontal="center" wrapText="1"/>
    </xf>
    <xf numFmtId="40" fontId="2" fillId="8" borderId="0" xfId="12" applyNumberFormat="1" applyFill="1" applyAlignment="1">
      <alignment horizontal="center" vertical="top" wrapText="1"/>
    </xf>
    <xf numFmtId="40" fontId="2" fillId="3" borderId="0" xfId="3" applyNumberFormat="1" applyFill="1"/>
    <xf numFmtId="40" fontId="2" fillId="2" borderId="15" xfId="3" applyNumberFormat="1" applyFill="1" applyBorder="1" applyAlignment="1">
      <alignment horizontal="center"/>
    </xf>
    <xf numFmtId="40" fontId="2" fillId="2" borderId="14" xfId="3" applyNumberFormat="1" applyFill="1" applyBorder="1" applyAlignment="1">
      <alignment horizontal="center"/>
    </xf>
    <xf numFmtId="40" fontId="2" fillId="2" borderId="13" xfId="3" applyNumberFormat="1" applyFill="1" applyBorder="1" applyAlignment="1">
      <alignment horizontal="center"/>
    </xf>
    <xf numFmtId="0" fontId="2" fillId="0" borderId="0" xfId="12" applyAlignment="1">
      <alignment horizontal="left"/>
    </xf>
    <xf numFmtId="2" fontId="2" fillId="0" borderId="0" xfId="12" applyNumberFormat="1" applyAlignment="1">
      <alignment horizontal="center"/>
    </xf>
    <xf numFmtId="0" fontId="2" fillId="0" borderId="0" xfId="12" applyAlignment="1">
      <alignment horizontal="center"/>
    </xf>
    <xf numFmtId="40" fontId="2" fillId="3" borderId="0" xfId="3" applyNumberFormat="1" applyFill="1" applyAlignment="1">
      <alignment horizontal="left" vertical="center"/>
    </xf>
    <xf numFmtId="40" fontId="2" fillId="3" borderId="0" xfId="3" applyNumberFormat="1" applyFill="1" applyAlignment="1">
      <alignment horizontal="center" vertical="center"/>
    </xf>
    <xf numFmtId="0" fontId="2" fillId="0" borderId="4" xfId="12" applyBorder="1" applyAlignment="1">
      <alignment horizontal="left" vertical="center"/>
    </xf>
    <xf numFmtId="0" fontId="2" fillId="0" borderId="4" xfId="12" applyBorder="1" applyAlignment="1">
      <alignment horizontal="left" vertical="center" wrapText="1"/>
    </xf>
    <xf numFmtId="2" fontId="2" fillId="0" borderId="4" xfId="12" applyNumberFormat="1" applyBorder="1" applyAlignment="1">
      <alignment horizontal="center"/>
    </xf>
    <xf numFmtId="0" fontId="3" fillId="0" borderId="4" xfId="12" applyFont="1" applyBorder="1" applyAlignment="1">
      <alignment horizontal="center"/>
    </xf>
    <xf numFmtId="40" fontId="3" fillId="3" borderId="4" xfId="3" applyNumberFormat="1" applyFont="1" applyFill="1" applyBorder="1" applyAlignment="1">
      <alignment horizontal="center" vertical="center"/>
    </xf>
    <xf numFmtId="40" fontId="2" fillId="3" borderId="0" xfId="3" applyNumberFormat="1" applyFill="1" applyAlignment="1">
      <alignment wrapText="1"/>
    </xf>
    <xf numFmtId="40" fontId="2" fillId="0" borderId="0" xfId="3" applyNumberFormat="1" applyAlignment="1">
      <alignment wrapText="1"/>
    </xf>
    <xf numFmtId="40" fontId="2" fillId="0" borderId="0" xfId="3" applyNumberFormat="1" applyAlignment="1">
      <alignment horizontal="center"/>
    </xf>
    <xf numFmtId="40" fontId="2" fillId="3" borderId="0" xfId="3" applyNumberFormat="1" applyFill="1" applyAlignment="1">
      <alignment horizontal="center"/>
    </xf>
    <xf numFmtId="40" fontId="2" fillId="3" borderId="0" xfId="3" applyNumberFormat="1" applyFill="1" applyAlignment="1">
      <alignment vertical="center" wrapText="1"/>
    </xf>
    <xf numFmtId="40" fontId="2" fillId="0" borderId="18" xfId="3" applyNumberFormat="1" applyBorder="1" applyAlignment="1">
      <alignment horizontal="center" vertical="center" wrapText="1"/>
    </xf>
    <xf numFmtId="40" fontId="2" fillId="0" borderId="13" xfId="3" applyNumberFormat="1" applyBorder="1" applyAlignment="1">
      <alignment horizontal="center" vertical="center" wrapText="1"/>
    </xf>
    <xf numFmtId="40" fontId="2" fillId="0" borderId="0" xfId="3" applyNumberFormat="1" applyAlignment="1">
      <alignment vertical="center" wrapText="1"/>
    </xf>
    <xf numFmtId="40" fontId="2" fillId="2" borderId="15" xfId="3" applyNumberFormat="1" applyFill="1" applyBorder="1" applyAlignment="1">
      <alignment horizontal="center" vertical="center"/>
    </xf>
    <xf numFmtId="40" fontId="2" fillId="2" borderId="14" xfId="3" applyNumberFormat="1" applyFill="1" applyBorder="1" applyAlignment="1">
      <alignment horizontal="center" vertical="center"/>
    </xf>
    <xf numFmtId="40" fontId="2" fillId="2" borderId="13" xfId="3" applyNumberFormat="1" applyFill="1" applyBorder="1" applyAlignment="1">
      <alignment horizontal="center" vertical="center"/>
    </xf>
    <xf numFmtId="40" fontId="2" fillId="3" borderId="0" xfId="3" applyNumberFormat="1" applyFill="1" applyAlignment="1">
      <alignment horizontal="center" vertical="center" wrapText="1"/>
    </xf>
    <xf numFmtId="2" fontId="2" fillId="0" borderId="0" xfId="12" applyNumberFormat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8" fontId="2" fillId="3" borderId="4" xfId="5" applyNumberFormat="1" applyFill="1" applyBorder="1" applyAlignment="1">
      <alignment horizontal="center" vertical="center"/>
    </xf>
    <xf numFmtId="0" fontId="3" fillId="0" borderId="83" xfId="5" applyFont="1" applyBorder="1" applyAlignment="1">
      <alignment horizontal="center" vertical="center"/>
    </xf>
    <xf numFmtId="0" fontId="2" fillId="3" borderId="14" xfId="5" applyFill="1" applyBorder="1" applyAlignment="1">
      <alignment horizontal="center" vertical="center"/>
    </xf>
    <xf numFmtId="44" fontId="2" fillId="0" borderId="4" xfId="24" applyFont="1" applyFill="1" applyBorder="1" applyAlignment="1">
      <alignment horizontal="center" vertical="center"/>
    </xf>
    <xf numFmtId="8" fontId="2" fillId="3" borderId="83" xfId="5" applyNumberFormat="1" applyFill="1" applyBorder="1" applyAlignment="1">
      <alignment horizontal="right" vertical="center"/>
    </xf>
    <xf numFmtId="44" fontId="2" fillId="0" borderId="4" xfId="24" applyFont="1" applyFill="1" applyBorder="1" applyAlignment="1">
      <alignment horizontal="right" vertical="center"/>
    </xf>
    <xf numFmtId="44" fontId="2" fillId="0" borderId="4" xfId="24" applyFont="1" applyFill="1" applyBorder="1" applyAlignment="1">
      <alignment horizontal="right" vertical="center" wrapText="1"/>
    </xf>
    <xf numFmtId="0" fontId="2" fillId="4" borderId="14" xfId="5" applyFill="1" applyBorder="1" applyAlignment="1">
      <alignment horizontal="center" vertical="center"/>
    </xf>
    <xf numFmtId="0" fontId="2" fillId="0" borderId="86" xfId="5" applyBorder="1" applyAlignment="1">
      <alignment horizontal="center" vertical="center"/>
    </xf>
    <xf numFmtId="0" fontId="2" fillId="0" borderId="14" xfId="5" applyBorder="1" applyAlignment="1">
      <alignment horizontal="center" vertical="center"/>
    </xf>
    <xf numFmtId="0" fontId="3" fillId="0" borderId="13" xfId="5" applyFont="1" applyBorder="1" applyAlignment="1">
      <alignment horizontal="center" vertical="center"/>
    </xf>
    <xf numFmtId="0" fontId="3" fillId="0" borderId="14" xfId="5" applyFont="1" applyBorder="1" applyAlignment="1">
      <alignment horizontal="center" vertical="center"/>
    </xf>
    <xf numFmtId="8" fontId="3" fillId="0" borderId="14" xfId="5" applyNumberFormat="1" applyFont="1" applyBorder="1" applyAlignment="1">
      <alignment horizontal="center" vertical="center"/>
    </xf>
    <xf numFmtId="8" fontId="3" fillId="0" borderId="84" xfId="5" applyNumberFormat="1" applyFont="1" applyBorder="1" applyAlignment="1">
      <alignment horizontal="right" vertical="center"/>
    </xf>
    <xf numFmtId="0" fontId="2" fillId="3" borderId="86" xfId="5" applyFill="1" applyBorder="1" applyAlignment="1">
      <alignment horizontal="center" vertical="center"/>
    </xf>
    <xf numFmtId="44" fontId="2" fillId="0" borderId="4" xfId="5" applyNumberFormat="1" applyBorder="1" applyAlignment="1">
      <alignment horizontal="center" vertical="center"/>
    </xf>
    <xf numFmtId="8" fontId="2" fillId="0" borderId="4" xfId="5" applyNumberFormat="1" applyBorder="1" applyAlignment="1">
      <alignment horizontal="center" vertical="center"/>
    </xf>
    <xf numFmtId="0" fontId="2" fillId="0" borderId="4" xfId="18" applyBorder="1" applyAlignment="1">
      <alignment horizontal="center" vertical="center" wrapText="1"/>
    </xf>
    <xf numFmtId="44" fontId="2" fillId="0" borderId="83" xfId="5" applyNumberFormat="1" applyBorder="1" applyAlignment="1">
      <alignment horizontal="right" vertical="center"/>
    </xf>
    <xf numFmtId="49" fontId="3" fillId="8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/>
    </xf>
    <xf numFmtId="0" fontId="2" fillId="0" borderId="13" xfId="0" applyFont="1" applyFill="1" applyBorder="1" applyAlignment="1">
      <alignment vertical="center" wrapText="1"/>
    </xf>
    <xf numFmtId="1" fontId="36" fillId="24" borderId="0" xfId="12" applyNumberFormat="1" applyFont="1" applyFill="1" applyAlignment="1">
      <alignment horizontal="center" vertical="center"/>
    </xf>
    <xf numFmtId="1" fontId="36" fillId="24" borderId="0" xfId="12" applyNumberFormat="1" applyFont="1" applyFill="1" applyAlignment="1">
      <alignment horizontal="left" vertical="center"/>
    </xf>
    <xf numFmtId="2" fontId="36" fillId="24" borderId="4" xfId="12" applyNumberFormat="1" applyFont="1" applyFill="1" applyBorder="1" applyAlignment="1">
      <alignment horizontal="center" vertical="center"/>
    </xf>
    <xf numFmtId="0" fontId="5" fillId="20" borderId="16" xfId="0" applyFont="1" applyFill="1" applyBorder="1" applyAlignment="1">
      <alignment horizontal="center" vertical="center"/>
    </xf>
    <xf numFmtId="2" fontId="5" fillId="20" borderId="3" xfId="0" applyNumberFormat="1" applyFont="1" applyFill="1" applyBorder="1" applyAlignment="1">
      <alignment horizontal="center"/>
    </xf>
    <xf numFmtId="0" fontId="5" fillId="20" borderId="2" xfId="0" applyFont="1" applyFill="1" applyBorder="1" applyAlignment="1">
      <alignment horizontal="center"/>
    </xf>
    <xf numFmtId="164" fontId="3" fillId="0" borderId="14" xfId="1" applyFont="1" applyFill="1" applyBorder="1" applyAlignment="1">
      <alignment horizontal="center" vertical="center" wrapText="1"/>
    </xf>
    <xf numFmtId="173" fontId="0" fillId="0" borderId="0" xfId="0" applyNumberFormat="1" applyAlignment="1"/>
    <xf numFmtId="40" fontId="3" fillId="15" borderId="4" xfId="0" applyNumberFormat="1" applyFont="1" applyFill="1" applyBorder="1" applyAlignment="1">
      <alignment horizontal="center" vertical="center"/>
    </xf>
    <xf numFmtId="0" fontId="3" fillId="4" borderId="82" xfId="5" applyFont="1" applyFill="1" applyBorder="1" applyAlignment="1">
      <alignment horizontal="center" vertical="center"/>
    </xf>
    <xf numFmtId="0" fontId="3" fillId="4" borderId="4" xfId="5" applyFont="1" applyFill="1" applyBorder="1" applyAlignment="1">
      <alignment horizontal="center" vertical="center"/>
    </xf>
    <xf numFmtId="0" fontId="2" fillId="3" borderId="82" xfId="5" applyFill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3" fillId="3" borderId="4" xfId="5" applyFont="1" applyFill="1" applyBorder="1" applyAlignment="1">
      <alignment horizontal="center" vertical="center"/>
    </xf>
    <xf numFmtId="0" fontId="2" fillId="3" borderId="13" xfId="5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40" fontId="2" fillId="15" borderId="13" xfId="0" applyNumberFormat="1" applyFont="1" applyFill="1" applyBorder="1" applyAlignment="1">
      <alignment horizontal="center"/>
    </xf>
    <xf numFmtId="40" fontId="2" fillId="8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0" fontId="3" fillId="0" borderId="0" xfId="12" applyFont="1" applyAlignment="1">
      <alignment horizontal="left" wrapText="1"/>
    </xf>
    <xf numFmtId="0" fontId="3" fillId="0" borderId="0" xfId="12" applyFont="1" applyAlignment="1">
      <alignment horizontal="left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0" xfId="0" applyFont="1" applyBorder="1" applyAlignment="1">
      <alignment vertical="center" wrapText="1"/>
    </xf>
    <xf numFmtId="44" fontId="6" fillId="0" borderId="0" xfId="16" applyFont="1" applyAlignment="1">
      <alignment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0" borderId="125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85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4" fontId="2" fillId="0" borderId="17" xfId="0" applyNumberFormat="1" applyFont="1" applyBorder="1" applyAlignment="1">
      <alignment horizontal="left" vertical="center" wrapText="1"/>
    </xf>
    <xf numFmtId="174" fontId="2" fillId="18" borderId="0" xfId="8" applyNumberFormat="1" applyFont="1" applyFill="1" applyAlignment="1">
      <alignment vertical="center" wrapText="1"/>
    </xf>
    <xf numFmtId="0" fontId="2" fillId="18" borderId="0" xfId="0" applyFont="1" applyFill="1" applyAlignment="1">
      <alignment vertical="center" wrapText="1"/>
    </xf>
    <xf numFmtId="168" fontId="2" fillId="18" borderId="0" xfId="0" applyNumberFormat="1" applyFont="1" applyFill="1" applyAlignment="1">
      <alignment vertical="center" wrapText="1"/>
    </xf>
    <xf numFmtId="10" fontId="2" fillId="18" borderId="0" xfId="8" applyNumberFormat="1" applyFont="1" applyFill="1" applyAlignment="1">
      <alignment vertical="center" wrapText="1"/>
    </xf>
    <xf numFmtId="174" fontId="2" fillId="0" borderId="0" xfId="8" applyNumberFormat="1" applyFont="1" applyFill="1" applyAlignment="1">
      <alignment vertical="center" wrapText="1"/>
    </xf>
    <xf numFmtId="168" fontId="2" fillId="0" borderId="12" xfId="5" applyNumberFormat="1" applyBorder="1" applyAlignment="1">
      <alignment vertical="center" wrapText="1"/>
    </xf>
    <xf numFmtId="168" fontId="2" fillId="0" borderId="4" xfId="5" applyNumberFormat="1" applyBorder="1" applyAlignment="1">
      <alignment vertical="center" wrapText="1"/>
    </xf>
    <xf numFmtId="0" fontId="2" fillId="0" borderId="65" xfId="0" applyFont="1" applyBorder="1" applyAlignment="1">
      <alignment horizontal="center" vertical="center" wrapText="1"/>
    </xf>
    <xf numFmtId="0" fontId="3" fillId="0" borderId="65" xfId="0" applyFont="1" applyBorder="1" applyAlignment="1">
      <alignment vertical="center" wrapText="1"/>
    </xf>
    <xf numFmtId="168" fontId="2" fillId="0" borderId="65" xfId="5" applyNumberFormat="1" applyBorder="1" applyAlignment="1">
      <alignment vertical="center" wrapText="1"/>
    </xf>
    <xf numFmtId="44" fontId="2" fillId="3" borderId="4" xfId="5" applyNumberFormat="1" applyFill="1" applyBorder="1" applyAlignment="1">
      <alignment horizontal="right" vertical="center" wrapText="1"/>
    </xf>
    <xf numFmtId="44" fontId="2" fillId="0" borderId="4" xfId="5" applyNumberFormat="1" applyBorder="1" applyAlignment="1">
      <alignment horizontal="right" vertical="center"/>
    </xf>
    <xf numFmtId="40" fontId="2" fillId="15" borderId="68" xfId="12" applyNumberFormat="1" applyFill="1" applyBorder="1" applyAlignment="1">
      <alignment horizontal="center"/>
    </xf>
    <xf numFmtId="40" fontId="2" fillId="15" borderId="67" xfId="12" applyNumberFormat="1" applyFill="1" applyBorder="1" applyAlignment="1">
      <alignment horizontal="center"/>
    </xf>
    <xf numFmtId="0" fontId="3" fillId="0" borderId="0" xfId="12" applyFont="1" applyAlignment="1">
      <alignment horizontal="left" vertical="center"/>
    </xf>
    <xf numFmtId="40" fontId="2" fillId="15" borderId="68" xfId="12" applyNumberFormat="1" applyFill="1" applyBorder="1" applyAlignment="1">
      <alignment horizontal="center" vertical="center"/>
    </xf>
    <xf numFmtId="40" fontId="2" fillId="15" borderId="56" xfId="12" applyNumberFormat="1" applyFill="1" applyBorder="1" applyAlignment="1">
      <alignment horizontal="center" vertical="center"/>
    </xf>
    <xf numFmtId="40" fontId="2" fillId="15" borderId="67" xfId="12" applyNumberFormat="1" applyFill="1" applyBorder="1" applyAlignment="1">
      <alignment horizontal="center" vertical="center"/>
    </xf>
    <xf numFmtId="40" fontId="2" fillId="0" borderId="0" xfId="12" applyNumberFormat="1" applyAlignment="1">
      <alignment horizontal="center"/>
    </xf>
    <xf numFmtId="0" fontId="2" fillId="0" borderId="4" xfId="25" applyFont="1" applyBorder="1" applyAlignment="1">
      <alignment horizontal="left" vertical="center" wrapText="1"/>
    </xf>
    <xf numFmtId="0" fontId="2" fillId="0" borderId="4" xfId="25" applyFont="1" applyBorder="1" applyAlignment="1">
      <alignment horizontal="center" vertical="center" wrapText="1"/>
    </xf>
    <xf numFmtId="0" fontId="2" fillId="0" borderId="15" xfId="2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 wrapText="1"/>
    </xf>
    <xf numFmtId="0" fontId="2" fillId="0" borderId="17" xfId="0" applyFont="1" applyFill="1" applyBorder="1" applyAlignment="1">
      <alignment vertical="center" wrapText="1"/>
    </xf>
    <xf numFmtId="0" fontId="17" fillId="25" borderId="131" xfId="0" applyFont="1" applyFill="1" applyBorder="1" applyAlignment="1">
      <alignment horizontal="center" vertical="center"/>
    </xf>
    <xf numFmtId="0" fontId="17" fillId="25" borderId="40" xfId="0" applyFont="1" applyFill="1" applyBorder="1" applyAlignment="1">
      <alignment vertical="center"/>
    </xf>
    <xf numFmtId="0" fontId="17" fillId="25" borderId="41" xfId="0" applyFont="1" applyFill="1" applyBorder="1" applyAlignment="1">
      <alignment vertical="center"/>
    </xf>
    <xf numFmtId="10" fontId="0" fillId="0" borderId="0" xfId="2" applyNumberFormat="1" applyFont="1"/>
    <xf numFmtId="174" fontId="0" fillId="0" borderId="0" xfId="2" applyNumberFormat="1" applyFont="1"/>
    <xf numFmtId="0" fontId="37" fillId="0" borderId="0" xfId="0" applyFont="1" applyAlignment="1">
      <alignment horizontal="right"/>
    </xf>
    <xf numFmtId="0" fontId="37" fillId="0" borderId="0" xfId="0" applyFont="1"/>
    <xf numFmtId="9" fontId="17" fillId="0" borderId="130" xfId="0" applyNumberFormat="1" applyFont="1" applyFill="1" applyBorder="1" applyAlignment="1">
      <alignment horizontal="center" vertical="center"/>
    </xf>
    <xf numFmtId="0" fontId="17" fillId="0" borderId="131" xfId="0" applyFont="1" applyFill="1" applyBorder="1" applyAlignment="1">
      <alignment horizontal="center" vertical="center"/>
    </xf>
    <xf numFmtId="10" fontId="17" fillId="0" borderId="51" xfId="0" applyNumberFormat="1" applyFont="1" applyFill="1" applyBorder="1" applyAlignment="1">
      <alignment horizontal="center" vertical="center"/>
    </xf>
    <xf numFmtId="178" fontId="6" fillId="0" borderId="0" xfId="0" applyNumberFormat="1" applyFont="1" applyAlignment="1">
      <alignment vertical="center" wrapText="1"/>
    </xf>
    <xf numFmtId="9" fontId="17" fillId="8" borderId="51" xfId="0" applyNumberFormat="1" applyFont="1" applyFill="1" applyBorder="1" applyAlignment="1">
      <alignment horizontal="center" vertical="center"/>
    </xf>
    <xf numFmtId="9" fontId="17" fillId="8" borderId="52" xfId="0" applyNumberFormat="1" applyFont="1" applyFill="1" applyBorder="1" applyAlignment="1">
      <alignment horizontal="center" vertical="center"/>
    </xf>
    <xf numFmtId="0" fontId="17" fillId="12" borderId="40" xfId="0" applyFont="1" applyFill="1" applyBorder="1" applyAlignment="1">
      <alignment horizontal="center" vertical="center"/>
    </xf>
    <xf numFmtId="0" fontId="17" fillId="12" borderId="41" xfId="0" applyFont="1" applyFill="1" applyBorder="1" applyAlignment="1">
      <alignment horizontal="center" vertical="center"/>
    </xf>
    <xf numFmtId="166" fontId="17" fillId="8" borderId="43" xfId="0" applyNumberFormat="1" applyFont="1" applyFill="1" applyBorder="1" applyAlignment="1">
      <alignment horizontal="center" vertical="center"/>
    </xf>
    <xf numFmtId="9" fontId="17" fillId="8" borderId="127" xfId="0" applyNumberFormat="1" applyFont="1" applyFill="1" applyBorder="1" applyAlignment="1">
      <alignment horizontal="center" vertical="center"/>
    </xf>
    <xf numFmtId="166" fontId="17" fillId="8" borderId="126" xfId="0" applyNumberFormat="1" applyFont="1" applyFill="1" applyBorder="1" applyAlignment="1">
      <alignment horizontal="center" vertical="center"/>
    </xf>
    <xf numFmtId="9" fontId="17" fillId="9" borderId="53" xfId="0" applyNumberFormat="1" applyFont="1" applyFill="1" applyBorder="1" applyAlignment="1">
      <alignment horizontal="center" vertical="center"/>
    </xf>
    <xf numFmtId="9" fontId="17" fillId="0" borderId="127" xfId="0" applyNumberFormat="1" applyFont="1" applyFill="1" applyBorder="1" applyAlignment="1">
      <alignment horizontal="center" vertical="center"/>
    </xf>
    <xf numFmtId="166" fontId="17" fillId="0" borderId="126" xfId="0" applyNumberFormat="1" applyFont="1" applyFill="1" applyBorder="1" applyAlignment="1">
      <alignment horizontal="center" vertical="center"/>
    </xf>
    <xf numFmtId="166" fontId="17" fillId="8" borderId="133" xfId="0" applyNumberFormat="1" applyFont="1" applyFill="1" applyBorder="1" applyAlignment="1">
      <alignment horizontal="center" vertical="center"/>
    </xf>
    <xf numFmtId="166" fontId="17" fillId="8" borderId="45" xfId="0" applyNumberFormat="1" applyFont="1" applyFill="1" applyBorder="1" applyAlignment="1">
      <alignment horizontal="center" vertical="center"/>
    </xf>
    <xf numFmtId="166" fontId="17" fillId="8" borderId="44" xfId="0" applyNumberFormat="1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/>
    </xf>
    <xf numFmtId="166" fontId="17" fillId="0" borderId="133" xfId="0" applyNumberFormat="1" applyFont="1" applyFill="1" applyBorder="1" applyAlignment="1">
      <alignment horizontal="center" vertical="center"/>
    </xf>
    <xf numFmtId="166" fontId="17" fillId="0" borderId="45" xfId="0" applyNumberFormat="1" applyFont="1" applyFill="1" applyBorder="1" applyAlignment="1">
      <alignment horizontal="center" vertical="center"/>
    </xf>
    <xf numFmtId="166" fontId="17" fillId="0" borderId="44" xfId="0" applyNumberFormat="1" applyFont="1" applyFill="1" applyBorder="1" applyAlignment="1">
      <alignment horizontal="center" vertical="center"/>
    </xf>
    <xf numFmtId="166" fontId="17" fillId="9" borderId="43" xfId="0" applyNumberFormat="1" applyFont="1" applyFill="1" applyBorder="1" applyAlignment="1">
      <alignment horizontal="center" vertical="center"/>
    </xf>
    <xf numFmtId="166" fontId="17" fillId="12" borderId="63" xfId="0" applyNumberFormat="1" applyFont="1" applyFill="1" applyBorder="1" applyAlignment="1">
      <alignment horizontal="center" vertical="center"/>
    </xf>
    <xf numFmtId="166" fontId="17" fillId="8" borderId="59" xfId="0" applyNumberFormat="1" applyFont="1" applyFill="1" applyBorder="1" applyAlignment="1">
      <alignment horizontal="center" vertical="center"/>
    </xf>
    <xf numFmtId="10" fontId="17" fillId="8" borderId="48" xfId="2" applyNumberFormat="1" applyFont="1" applyFill="1" applyBorder="1" applyAlignment="1" applyProtection="1">
      <alignment horizontal="center" vertical="center"/>
    </xf>
    <xf numFmtId="166" fontId="17" fillId="8" borderId="54" xfId="0" applyNumberFormat="1" applyFont="1" applyFill="1" applyBorder="1" applyAlignment="1">
      <alignment horizontal="center" vertical="center"/>
    </xf>
    <xf numFmtId="166" fontId="17" fillId="8" borderId="47" xfId="0" applyNumberFormat="1" applyFont="1" applyFill="1" applyBorder="1" applyAlignment="1">
      <alignment horizontal="center" vertical="center"/>
    </xf>
    <xf numFmtId="0" fontId="17" fillId="8" borderId="33" xfId="0" applyFont="1" applyFill="1" applyBorder="1" applyAlignment="1">
      <alignment horizontal="center" vertical="center"/>
    </xf>
    <xf numFmtId="0" fontId="17" fillId="8" borderId="50" xfId="0" applyFont="1" applyFill="1" applyBorder="1" applyAlignment="1">
      <alignment horizontal="left" vertical="center"/>
    </xf>
    <xf numFmtId="0" fontId="17" fillId="8" borderId="46" xfId="0" applyFont="1" applyFill="1" applyBorder="1" applyAlignment="1">
      <alignment horizontal="left" vertical="center"/>
    </xf>
    <xf numFmtId="0" fontId="17" fillId="8" borderId="40" xfId="0" applyFont="1" applyFill="1" applyBorder="1" applyAlignment="1">
      <alignment horizontal="center" vertical="center"/>
    </xf>
    <xf numFmtId="0" fontId="17" fillId="8" borderId="41" xfId="0" applyFont="1" applyFill="1" applyBorder="1" applyAlignment="1">
      <alignment horizontal="center" vertical="center"/>
    </xf>
    <xf numFmtId="166" fontId="17" fillId="8" borderId="39" xfId="0" applyNumberFormat="1" applyFont="1" applyFill="1" applyBorder="1" applyAlignment="1">
      <alignment horizontal="center" vertical="center"/>
    </xf>
    <xf numFmtId="166" fontId="17" fillId="0" borderId="43" xfId="0" applyNumberFormat="1" applyFont="1" applyFill="1" applyBorder="1" applyAlignment="1">
      <alignment horizontal="center" vertical="center"/>
    </xf>
    <xf numFmtId="9" fontId="17" fillId="8" borderId="53" xfId="0" applyNumberFormat="1" applyFont="1" applyFill="1" applyBorder="1" applyAlignment="1">
      <alignment horizontal="center" vertical="center"/>
    </xf>
    <xf numFmtId="10" fontId="17" fillId="8" borderId="140" xfId="0" applyNumberFormat="1" applyFont="1" applyFill="1" applyBorder="1" applyAlignment="1">
      <alignment horizontal="center" vertical="center"/>
    </xf>
    <xf numFmtId="10" fontId="17" fillId="8" borderId="141" xfId="0" applyNumberFormat="1" applyFont="1" applyFill="1" applyBorder="1" applyAlignment="1">
      <alignment horizontal="center" vertical="center"/>
    </xf>
    <xf numFmtId="0" fontId="17" fillId="8" borderId="34" xfId="0" applyFont="1" applyFill="1" applyBorder="1" applyAlignment="1">
      <alignment horizontal="left" vertical="center"/>
    </xf>
    <xf numFmtId="10" fontId="17" fillId="8" borderId="35" xfId="0" applyNumberFormat="1" applyFont="1" applyFill="1" applyBorder="1" applyAlignment="1">
      <alignment horizontal="center" vertical="center"/>
    </xf>
    <xf numFmtId="10" fontId="17" fillId="8" borderId="61" xfId="2" applyNumberFormat="1" applyFont="1" applyFill="1" applyBorder="1" applyAlignment="1" applyProtection="1">
      <alignment horizontal="center" vertical="center"/>
    </xf>
    <xf numFmtId="10" fontId="17" fillId="8" borderId="62" xfId="2" applyNumberFormat="1" applyFont="1" applyFill="1" applyBorder="1" applyAlignment="1" applyProtection="1">
      <alignment horizontal="center" vertical="center"/>
    </xf>
    <xf numFmtId="166" fontId="17" fillId="12" borderId="61" xfId="0" applyNumberFormat="1" applyFont="1" applyFill="1" applyBorder="1" applyAlignment="1">
      <alignment horizontal="center" vertical="center"/>
    </xf>
    <xf numFmtId="166" fontId="17" fillId="12" borderId="62" xfId="0" applyNumberFormat="1" applyFont="1" applyFill="1" applyBorder="1" applyAlignment="1">
      <alignment horizontal="center" vertical="center"/>
    </xf>
    <xf numFmtId="166" fontId="17" fillId="9" borderId="59" xfId="0" applyNumberFormat="1" applyFont="1" applyFill="1" applyBorder="1" applyAlignment="1">
      <alignment horizontal="center" vertical="center"/>
    </xf>
    <xf numFmtId="0" fontId="18" fillId="7" borderId="30" xfId="0" applyFont="1" applyFill="1" applyBorder="1" applyAlignment="1">
      <alignment horizontal="center" vertical="center"/>
    </xf>
    <xf numFmtId="9" fontId="17" fillId="11" borderId="63" xfId="0" applyNumberFormat="1" applyFont="1" applyFill="1" applyBorder="1" applyAlignment="1">
      <alignment horizontal="center" vertical="center"/>
    </xf>
    <xf numFmtId="9" fontId="17" fillId="0" borderId="51" xfId="0" applyNumberFormat="1" applyFont="1" applyFill="1" applyBorder="1" applyAlignment="1">
      <alignment horizontal="center" vertical="center"/>
    </xf>
    <xf numFmtId="9" fontId="17" fillId="0" borderId="52" xfId="0" applyNumberFormat="1" applyFont="1" applyFill="1" applyBorder="1" applyAlignment="1">
      <alignment horizontal="center" vertical="center"/>
    </xf>
    <xf numFmtId="0" fontId="17" fillId="8" borderId="58" xfId="0" applyFont="1" applyFill="1" applyBorder="1" applyAlignment="1">
      <alignment horizontal="center" vertical="center"/>
    </xf>
    <xf numFmtId="0" fontId="17" fillId="8" borderId="111" xfId="0" applyFont="1" applyFill="1" applyBorder="1" applyAlignment="1">
      <alignment horizontal="center" vertical="center"/>
    </xf>
    <xf numFmtId="9" fontId="17" fillId="0" borderId="53" xfId="0" applyNumberFormat="1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left" vertical="center" wrapText="1"/>
    </xf>
    <xf numFmtId="0" fontId="17" fillId="6" borderId="11" xfId="0" applyFont="1" applyFill="1" applyBorder="1" applyAlignment="1">
      <alignment horizontal="left" vertical="center" wrapText="1"/>
    </xf>
    <xf numFmtId="0" fontId="18" fillId="6" borderId="124" xfId="0" applyFont="1" applyFill="1" applyBorder="1" applyAlignment="1">
      <alignment horizontal="center" vertical="center"/>
    </xf>
    <xf numFmtId="0" fontId="18" fillId="6" borderId="23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/>
    </xf>
    <xf numFmtId="0" fontId="18" fillId="6" borderId="105" xfId="0" applyFont="1" applyFill="1" applyBorder="1" applyAlignment="1">
      <alignment horizontal="center" vertical="center"/>
    </xf>
    <xf numFmtId="0" fontId="18" fillId="6" borderId="75" xfId="0" applyFont="1" applyFill="1" applyBorder="1" applyAlignment="1">
      <alignment horizontal="center" vertical="center"/>
    </xf>
    <xf numFmtId="0" fontId="18" fillId="7" borderId="31" xfId="0" applyFont="1" applyFill="1" applyBorder="1" applyAlignment="1">
      <alignment horizontal="center" vertical="center"/>
    </xf>
    <xf numFmtId="0" fontId="18" fillId="7" borderId="117" xfId="0" applyFont="1" applyFill="1" applyBorder="1" applyAlignment="1">
      <alignment horizontal="center" vertical="center"/>
    </xf>
    <xf numFmtId="0" fontId="18" fillId="7" borderId="28" xfId="0" applyFont="1" applyFill="1" applyBorder="1" applyAlignment="1">
      <alignment horizontal="center" vertical="center"/>
    </xf>
    <xf numFmtId="0" fontId="18" fillId="7" borderId="57" xfId="0" applyFont="1" applyFill="1" applyBorder="1" applyAlignment="1">
      <alignment horizontal="center" vertical="center"/>
    </xf>
    <xf numFmtId="0" fontId="18" fillId="7" borderId="29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4" fillId="0" borderId="99" xfId="0" applyFont="1" applyBorder="1" applyAlignment="1">
      <alignment wrapText="1"/>
    </xf>
    <xf numFmtId="0" fontId="4" fillId="0" borderId="74" xfId="0" applyFont="1" applyBorder="1" applyAlignment="1">
      <alignment wrapText="1"/>
    </xf>
    <xf numFmtId="0" fontId="4" fillId="0" borderId="100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0" borderId="107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9" fillId="0" borderId="16" xfId="0" applyFont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 wrapText="1"/>
    </xf>
    <xf numFmtId="0" fontId="9" fillId="0" borderId="2" xfId="0" applyFont="1" applyBorder="1" applyAlignment="1" applyProtection="1">
      <alignment horizontal="center" vertical="center" wrapText="1"/>
    </xf>
    <xf numFmtId="0" fontId="15" fillId="0" borderId="13" xfId="13" applyFont="1" applyBorder="1" applyAlignment="1">
      <alignment horizontal="left" vertical="center"/>
    </xf>
    <xf numFmtId="0" fontId="15" fillId="0" borderId="14" xfId="13" applyFont="1" applyBorder="1" applyAlignment="1">
      <alignment horizontal="left" vertical="center"/>
    </xf>
    <xf numFmtId="0" fontId="15" fillId="0" borderId="15" xfId="13" applyFont="1" applyBorder="1" applyAlignment="1">
      <alignment horizontal="left" vertical="center"/>
    </xf>
    <xf numFmtId="0" fontId="3" fillId="4" borderId="4" xfId="12" applyFont="1" applyFill="1" applyBorder="1" applyAlignment="1">
      <alignment horizontal="left" vertical="center" wrapText="1"/>
    </xf>
    <xf numFmtId="169" fontId="3" fillId="4" borderId="13" xfId="0" applyNumberFormat="1" applyFont="1" applyFill="1" applyBorder="1" applyAlignment="1" applyProtection="1">
      <alignment horizontal="center" vertical="center" wrapText="1"/>
    </xf>
    <xf numFmtId="169" fontId="3" fillId="4" borderId="15" xfId="0" applyNumberFormat="1" applyFont="1" applyFill="1" applyBorder="1" applyAlignment="1" applyProtection="1">
      <alignment horizontal="center" vertical="center" wrapText="1"/>
    </xf>
    <xf numFmtId="169" fontId="3" fillId="3" borderId="4" xfId="0" applyNumberFormat="1" applyFont="1" applyFill="1" applyBorder="1" applyAlignment="1" applyProtection="1">
      <alignment horizontal="left" vertical="center" wrapText="1"/>
    </xf>
    <xf numFmtId="169" fontId="3" fillId="3" borderId="83" xfId="0" applyNumberFormat="1" applyFont="1" applyFill="1" applyBorder="1" applyAlignment="1" applyProtection="1">
      <alignment horizontal="left" vertical="center" wrapText="1"/>
    </xf>
    <xf numFmtId="0" fontId="0" fillId="0" borderId="23" xfId="0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5" fillId="0" borderId="99" xfId="0" applyFont="1" applyBorder="1" applyAlignment="1">
      <alignment horizontal="center"/>
    </xf>
    <xf numFmtId="0" fontId="5" fillId="0" borderId="74" xfId="0" applyFont="1" applyBorder="1" applyAlignment="1">
      <alignment horizontal="center"/>
    </xf>
    <xf numFmtId="0" fontId="5" fillId="0" borderId="100" xfId="0" applyFont="1" applyBorder="1" applyAlignment="1">
      <alignment horizontal="center"/>
    </xf>
    <xf numFmtId="0" fontId="0" fillId="0" borderId="104" xfId="0" applyFont="1" applyBorder="1" applyAlignment="1">
      <alignment horizontal="center"/>
    </xf>
    <xf numFmtId="0" fontId="0" fillId="0" borderId="78" xfId="0" applyFont="1" applyBorder="1" applyAlignment="1">
      <alignment horizontal="center"/>
    </xf>
    <xf numFmtId="0" fontId="0" fillId="0" borderId="55" xfId="0" applyFont="1" applyBorder="1" applyAlignment="1">
      <alignment horizontal="center"/>
    </xf>
    <xf numFmtId="165" fontId="3" fillId="0" borderId="14" xfId="12" applyNumberFormat="1" applyFont="1" applyBorder="1" applyAlignment="1">
      <alignment horizontal="left" vertical="center" wrapText="1"/>
    </xf>
    <xf numFmtId="165" fontId="3" fillId="0" borderId="84" xfId="12" applyNumberFormat="1" applyFont="1" applyBorder="1" applyAlignment="1">
      <alignment horizontal="left" vertical="center" wrapText="1"/>
    </xf>
    <xf numFmtId="0" fontId="3" fillId="4" borderId="82" xfId="12" applyFont="1" applyFill="1" applyBorder="1" applyAlignment="1">
      <alignment horizontal="left" vertical="center" wrapText="1"/>
    </xf>
    <xf numFmtId="0" fontId="3" fillId="4" borderId="15" xfId="12" applyFont="1" applyFill="1" applyBorder="1" applyAlignment="1">
      <alignment horizontal="left" vertical="center" wrapText="1"/>
    </xf>
    <xf numFmtId="4" fontId="3" fillId="4" borderId="13" xfId="12" applyNumberFormat="1" applyFont="1" applyFill="1" applyBorder="1" applyAlignment="1">
      <alignment horizontal="left" vertical="center" wrapText="1"/>
    </xf>
    <xf numFmtId="4" fontId="3" fillId="4" borderId="15" xfId="12" applyNumberFormat="1" applyFont="1" applyFill="1" applyBorder="1" applyAlignment="1">
      <alignment horizontal="left" vertical="center" wrapText="1"/>
    </xf>
    <xf numFmtId="10" fontId="3" fillId="0" borderId="13" xfId="12" applyNumberFormat="1" applyFont="1" applyBorder="1" applyAlignment="1">
      <alignment horizontal="left" vertical="center"/>
    </xf>
    <xf numFmtId="10" fontId="3" fillId="0" borderId="15" xfId="12" applyNumberFormat="1" applyFont="1" applyBorder="1" applyAlignment="1">
      <alignment horizontal="left" vertical="center"/>
    </xf>
    <xf numFmtId="0" fontId="3" fillId="0" borderId="13" xfId="12" applyFont="1" applyBorder="1" applyAlignment="1">
      <alignment vertical="center"/>
    </xf>
    <xf numFmtId="0" fontId="3" fillId="0" borderId="15" xfId="12" applyFont="1" applyBorder="1" applyAlignment="1">
      <alignment vertical="center"/>
    </xf>
    <xf numFmtId="0" fontId="22" fillId="14" borderId="79" xfId="12" applyFont="1" applyFill="1" applyBorder="1" applyAlignment="1">
      <alignment horizontal="center" vertical="center"/>
    </xf>
    <xf numFmtId="0" fontId="22" fillId="14" borderId="80" xfId="12" applyFont="1" applyFill="1" applyBorder="1" applyAlignment="1">
      <alignment horizontal="center" vertical="center"/>
    </xf>
    <xf numFmtId="0" fontId="22" fillId="14" borderId="81" xfId="12" applyFont="1" applyFill="1" applyBorder="1" applyAlignment="1">
      <alignment horizontal="center" vertical="center"/>
    </xf>
    <xf numFmtId="0" fontId="3" fillId="0" borderId="13" xfId="12" applyFont="1" applyBorder="1" applyAlignment="1">
      <alignment horizontal="left" vertical="center"/>
    </xf>
    <xf numFmtId="0" fontId="3" fillId="0" borderId="15" xfId="12" applyFont="1" applyBorder="1" applyAlignment="1">
      <alignment horizontal="left" vertical="center"/>
    </xf>
    <xf numFmtId="44" fontId="3" fillId="0" borderId="13" xfId="12" applyNumberFormat="1" applyFont="1" applyBorder="1" applyAlignment="1">
      <alignment horizontal="left" vertical="center"/>
    </xf>
    <xf numFmtId="0" fontId="3" fillId="0" borderId="14" xfId="12" applyFont="1" applyBorder="1" applyAlignment="1">
      <alignment horizontal="left" vertical="center"/>
    </xf>
    <xf numFmtId="0" fontId="3" fillId="0" borderId="84" xfId="12" applyFont="1" applyBorder="1" applyAlignment="1">
      <alignment horizontal="left" vertical="center"/>
    </xf>
    <xf numFmtId="0" fontId="3" fillId="4" borderId="13" xfId="12" applyFont="1" applyFill="1" applyBorder="1" applyAlignment="1">
      <alignment horizontal="center" vertical="center"/>
    </xf>
    <xf numFmtId="0" fontId="3" fillId="4" borderId="15" xfId="12" applyFont="1" applyFill="1" applyBorder="1" applyAlignment="1">
      <alignment horizontal="center" vertical="center"/>
    </xf>
    <xf numFmtId="0" fontId="15" fillId="0" borderId="0" xfId="13" applyFont="1" applyBorder="1" applyAlignment="1">
      <alignment horizontal="left" vertical="center"/>
    </xf>
    <xf numFmtId="0" fontId="3" fillId="16" borderId="86" xfId="0" applyFont="1" applyFill="1" applyBorder="1" applyAlignment="1">
      <alignment horizontal="center"/>
    </xf>
    <xf numFmtId="0" fontId="3" fillId="16" borderId="4" xfId="0" applyFont="1" applyFill="1" applyBorder="1" applyAlignment="1">
      <alignment horizontal="center"/>
    </xf>
    <xf numFmtId="0" fontId="3" fillId="16" borderId="83" xfId="0" applyFont="1" applyFill="1" applyBorder="1" applyAlignment="1">
      <alignment horizontal="center"/>
    </xf>
    <xf numFmtId="0" fontId="3" fillId="16" borderId="82" xfId="0" applyFont="1" applyFill="1" applyBorder="1" applyAlignment="1">
      <alignment horizontal="center"/>
    </xf>
    <xf numFmtId="0" fontId="3" fillId="16" borderId="14" xfId="0" applyFont="1" applyFill="1" applyBorder="1" applyAlignment="1">
      <alignment horizontal="center"/>
    </xf>
    <xf numFmtId="0" fontId="3" fillId="16" borderId="84" xfId="0" applyFont="1" applyFill="1" applyBorder="1" applyAlignment="1">
      <alignment horizontal="center"/>
    </xf>
    <xf numFmtId="0" fontId="3" fillId="16" borderId="93" xfId="0" applyFont="1" applyFill="1" applyBorder="1" applyAlignment="1">
      <alignment horizontal="center"/>
    </xf>
    <xf numFmtId="0" fontId="3" fillId="16" borderId="72" xfId="0" applyFont="1" applyFill="1" applyBorder="1" applyAlignment="1">
      <alignment horizontal="center"/>
    </xf>
    <xf numFmtId="0" fontId="3" fillId="16" borderId="79" xfId="0" applyFont="1" applyFill="1" applyBorder="1" applyAlignment="1">
      <alignment horizontal="center"/>
    </xf>
    <xf numFmtId="0" fontId="3" fillId="16" borderId="80" xfId="0" applyFont="1" applyFill="1" applyBorder="1" applyAlignment="1">
      <alignment horizontal="center"/>
    </xf>
    <xf numFmtId="0" fontId="3" fillId="16" borderId="81" xfId="0" applyFont="1" applyFill="1" applyBorder="1" applyAlignment="1">
      <alignment horizontal="center"/>
    </xf>
    <xf numFmtId="0" fontId="2" fillId="0" borderId="8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7" borderId="4" xfId="0" applyFont="1" applyFill="1" applyBorder="1" applyAlignment="1">
      <alignment horizontal="center"/>
    </xf>
    <xf numFmtId="0" fontId="2" fillId="17" borderId="83" xfId="0" applyFont="1" applyFill="1" applyBorder="1" applyAlignment="1">
      <alignment horizontal="center"/>
    </xf>
    <xf numFmtId="0" fontId="5" fillId="4" borderId="90" xfId="12" applyFont="1" applyFill="1" applyBorder="1" applyAlignment="1">
      <alignment horizontal="left" vertical="center" wrapText="1"/>
    </xf>
    <xf numFmtId="0" fontId="5" fillId="4" borderId="92" xfId="12" applyFont="1" applyFill="1" applyBorder="1" applyAlignment="1">
      <alignment horizontal="left" vertical="center" wrapText="1"/>
    </xf>
    <xf numFmtId="0" fontId="5" fillId="3" borderId="71" xfId="12" applyNumberFormat="1" applyFont="1" applyFill="1" applyBorder="1" applyAlignment="1">
      <alignment horizontal="left" vertical="center" wrapText="1"/>
    </xf>
    <xf numFmtId="0" fontId="5" fillId="3" borderId="70" xfId="12" applyNumberFormat="1" applyFont="1" applyFill="1" applyBorder="1" applyAlignment="1">
      <alignment horizontal="left" vertical="center" wrapText="1"/>
    </xf>
    <xf numFmtId="0" fontId="5" fillId="3" borderId="17" xfId="12" applyNumberFormat="1" applyFont="1" applyFill="1" applyBorder="1" applyAlignment="1">
      <alignment horizontal="left" vertical="center" wrapText="1"/>
    </xf>
    <xf numFmtId="0" fontId="5" fillId="3" borderId="21" xfId="12" applyNumberFormat="1" applyFont="1" applyFill="1" applyBorder="1" applyAlignment="1">
      <alignment horizontal="left" vertical="center" wrapText="1"/>
    </xf>
    <xf numFmtId="169" fontId="5" fillId="4" borderId="13" xfId="0" applyNumberFormat="1" applyFont="1" applyFill="1" applyBorder="1" applyAlignment="1" applyProtection="1">
      <alignment horizontal="center" vertical="center" wrapText="1"/>
    </xf>
    <xf numFmtId="169" fontId="5" fillId="4" borderId="15" xfId="0" applyNumberFormat="1" applyFont="1" applyFill="1" applyBorder="1" applyAlignment="1" applyProtection="1">
      <alignment horizontal="center" vertical="center" wrapText="1"/>
    </xf>
    <xf numFmtId="169" fontId="5" fillId="3" borderId="13" xfId="0" applyNumberFormat="1" applyFont="1" applyFill="1" applyBorder="1" applyAlignment="1" applyProtection="1">
      <alignment horizontal="left" vertical="center" wrapText="1"/>
    </xf>
    <xf numFmtId="169" fontId="5" fillId="3" borderId="14" xfId="0" applyNumberFormat="1" applyFont="1" applyFill="1" applyBorder="1" applyAlignment="1" applyProtection="1">
      <alignment horizontal="left" vertical="center" wrapText="1"/>
    </xf>
    <xf numFmtId="0" fontId="5" fillId="3" borderId="13" xfId="12" applyNumberFormat="1" applyFont="1" applyFill="1" applyBorder="1" applyAlignment="1">
      <alignment horizontal="left" vertical="center"/>
    </xf>
    <xf numFmtId="0" fontId="5" fillId="3" borderId="14" xfId="12" applyNumberFormat="1" applyFont="1" applyFill="1" applyBorder="1" applyAlignment="1">
      <alignment horizontal="left" vertical="center"/>
    </xf>
    <xf numFmtId="0" fontId="5" fillId="3" borderId="15" xfId="12" applyNumberFormat="1" applyFont="1" applyFill="1" applyBorder="1" applyAlignment="1">
      <alignment horizontal="left" vertical="center"/>
    </xf>
    <xf numFmtId="0" fontId="5" fillId="4" borderId="13" xfId="12" applyFont="1" applyFill="1" applyBorder="1" applyAlignment="1">
      <alignment horizontal="center" vertical="center"/>
    </xf>
    <xf numFmtId="0" fontId="5" fillId="4" borderId="15" xfId="12" applyFont="1" applyFill="1" applyBorder="1" applyAlignment="1">
      <alignment horizontal="center" vertical="center"/>
    </xf>
    <xf numFmtId="0" fontId="5" fillId="3" borderId="13" xfId="12" applyNumberFormat="1" applyFont="1" applyFill="1" applyBorder="1" applyAlignment="1">
      <alignment horizontal="left" vertical="center" wrapText="1"/>
    </xf>
    <xf numFmtId="0" fontId="5" fillId="3" borderId="14" xfId="12" applyNumberFormat="1" applyFont="1" applyFill="1" applyBorder="1" applyAlignment="1">
      <alignment horizontal="left" vertical="center" wrapText="1"/>
    </xf>
    <xf numFmtId="10" fontId="3" fillId="0" borderId="14" xfId="2" applyNumberFormat="1" applyFont="1" applyBorder="1" applyAlignment="1">
      <alignment horizontal="left" vertical="center" wrapText="1"/>
    </xf>
    <xf numFmtId="10" fontId="3" fillId="0" borderId="15" xfId="2" applyNumberFormat="1" applyFont="1" applyBorder="1" applyAlignment="1">
      <alignment horizontal="left" vertical="center" wrapText="1"/>
    </xf>
    <xf numFmtId="0" fontId="5" fillId="4" borderId="71" xfId="12" applyFont="1" applyFill="1" applyBorder="1" applyAlignment="1">
      <alignment horizontal="center" vertical="center" wrapText="1"/>
    </xf>
    <xf numFmtId="0" fontId="5" fillId="4" borderId="70" xfId="12" applyFont="1" applyFill="1" applyBorder="1" applyAlignment="1">
      <alignment horizontal="center" vertical="center" wrapText="1"/>
    </xf>
    <xf numFmtId="0" fontId="5" fillId="4" borderId="17" xfId="12" applyFont="1" applyFill="1" applyBorder="1" applyAlignment="1">
      <alignment horizontal="center" vertical="center" wrapText="1"/>
    </xf>
    <xf numFmtId="0" fontId="5" fillId="4" borderId="21" xfId="12" applyFont="1" applyFill="1" applyBorder="1" applyAlignment="1">
      <alignment horizontal="center" vertical="center" wrapText="1"/>
    </xf>
    <xf numFmtId="165" fontId="5" fillId="3" borderId="71" xfId="12" applyNumberFormat="1" applyFont="1" applyFill="1" applyBorder="1" applyAlignment="1">
      <alignment horizontal="left" vertical="center" wrapText="1"/>
    </xf>
    <xf numFmtId="165" fontId="5" fillId="3" borderId="69" xfId="12" applyNumberFormat="1" applyFont="1" applyFill="1" applyBorder="1" applyAlignment="1">
      <alignment horizontal="left" vertical="center" wrapText="1"/>
    </xf>
    <xf numFmtId="165" fontId="5" fillId="3" borderId="17" xfId="12" applyNumberFormat="1" applyFont="1" applyFill="1" applyBorder="1" applyAlignment="1">
      <alignment horizontal="left" vertical="center" wrapText="1"/>
    </xf>
    <xf numFmtId="165" fontId="5" fillId="3" borderId="18" xfId="12" applyNumberFormat="1" applyFont="1" applyFill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3" fillId="4" borderId="82" xfId="5" applyFont="1" applyFill="1" applyBorder="1" applyAlignment="1">
      <alignment horizontal="center" vertical="center"/>
    </xf>
    <xf numFmtId="0" fontId="3" fillId="4" borderId="14" xfId="5" applyFont="1" applyFill="1" applyBorder="1" applyAlignment="1">
      <alignment horizontal="center" vertical="center"/>
    </xf>
    <xf numFmtId="0" fontId="3" fillId="4" borderId="84" xfId="5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3" fillId="4" borderId="13" xfId="5" applyFont="1" applyFill="1" applyBorder="1" applyAlignment="1">
      <alignment horizontal="center" vertical="center"/>
    </xf>
    <xf numFmtId="0" fontId="3" fillId="4" borderId="15" xfId="5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3" borderId="82" xfId="5" applyFill="1" applyBorder="1" applyAlignment="1">
      <alignment horizontal="center" vertical="center" wrapText="1"/>
    </xf>
    <xf numFmtId="0" fontId="2" fillId="3" borderId="15" xfId="5" applyFill="1" applyBorder="1" applyAlignment="1">
      <alignment horizontal="center" vertical="center" wrapText="1"/>
    </xf>
    <xf numFmtId="0" fontId="3" fillId="4" borderId="4" xfId="5" applyFont="1" applyFill="1" applyBorder="1" applyAlignment="1">
      <alignment horizontal="center" vertical="center"/>
    </xf>
    <xf numFmtId="0" fontId="3" fillId="3" borderId="13" xfId="5" applyFont="1" applyFill="1" applyBorder="1" applyAlignment="1">
      <alignment horizontal="center" vertical="center"/>
    </xf>
    <xf numFmtId="0" fontId="3" fillId="3" borderId="14" xfId="5" applyFont="1" applyFill="1" applyBorder="1" applyAlignment="1">
      <alignment horizontal="center" vertical="center"/>
    </xf>
    <xf numFmtId="0" fontId="3" fillId="3" borderId="15" xfId="5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2" fillId="3" borderId="13" xfId="5" applyFont="1" applyFill="1" applyBorder="1" applyAlignment="1">
      <alignment horizontal="left" vertical="center" wrapText="1"/>
    </xf>
    <xf numFmtId="0" fontId="2" fillId="3" borderId="14" xfId="5" applyFont="1" applyFill="1" applyBorder="1" applyAlignment="1">
      <alignment horizontal="left" vertical="center" wrapText="1"/>
    </xf>
    <xf numFmtId="0" fontId="2" fillId="3" borderId="15" xfId="5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3" borderId="13" xfId="5" applyFill="1" applyBorder="1" applyAlignment="1">
      <alignment horizontal="left" vertical="center" wrapText="1"/>
    </xf>
    <xf numFmtId="0" fontId="2" fillId="3" borderId="14" xfId="5" applyFill="1" applyBorder="1" applyAlignment="1">
      <alignment horizontal="left" vertical="center" wrapText="1"/>
    </xf>
    <xf numFmtId="0" fontId="2" fillId="3" borderId="15" xfId="5" applyFill="1" applyBorder="1" applyAlignment="1">
      <alignment horizontal="left" vertical="center" wrapText="1"/>
    </xf>
    <xf numFmtId="44" fontId="2" fillId="3" borderId="13" xfId="24" applyFont="1" applyFill="1" applyBorder="1" applyAlignment="1">
      <alignment horizontal="left" vertical="center" wrapText="1"/>
    </xf>
    <xf numFmtId="44" fontId="2" fillId="3" borderId="14" xfId="24" applyFont="1" applyFill="1" applyBorder="1" applyAlignment="1">
      <alignment horizontal="left" vertical="center" wrapText="1"/>
    </xf>
    <xf numFmtId="44" fontId="2" fillId="3" borderId="15" xfId="24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vertical="center" wrapText="1"/>
    </xf>
    <xf numFmtId="0" fontId="2" fillId="3" borderId="14" xfId="0" applyFont="1" applyFill="1" applyBorder="1" applyAlignment="1">
      <alignment vertical="center" wrapText="1"/>
    </xf>
    <xf numFmtId="0" fontId="2" fillId="3" borderId="15" xfId="0" applyFont="1" applyFill="1" applyBorder="1" applyAlignment="1">
      <alignment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2" fillId="3" borderId="14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2" fillId="3" borderId="4" xfId="5" applyFill="1" applyBorder="1" applyAlignment="1">
      <alignment horizontal="left" vertical="center" wrapText="1"/>
    </xf>
    <xf numFmtId="0" fontId="3" fillId="3" borderId="71" xfId="5" applyFont="1" applyFill="1" applyBorder="1" applyAlignment="1">
      <alignment horizontal="center" vertical="center"/>
    </xf>
    <xf numFmtId="0" fontId="3" fillId="3" borderId="69" xfId="5" applyFont="1" applyFill="1" applyBorder="1" applyAlignment="1">
      <alignment horizontal="center" vertical="center"/>
    </xf>
    <xf numFmtId="0" fontId="3" fillId="3" borderId="70" xfId="5" applyFont="1" applyFill="1" applyBorder="1" applyAlignment="1">
      <alignment horizontal="center" vertical="center"/>
    </xf>
    <xf numFmtId="0" fontId="27" fillId="3" borderId="13" xfId="5" applyFont="1" applyFill="1" applyBorder="1" applyAlignment="1">
      <alignment horizontal="left" vertical="center" wrapText="1"/>
    </xf>
    <xf numFmtId="0" fontId="27" fillId="3" borderId="14" xfId="5" applyFont="1" applyFill="1" applyBorder="1" applyAlignment="1">
      <alignment horizontal="left" vertical="center" wrapText="1"/>
    </xf>
    <xf numFmtId="0" fontId="27" fillId="3" borderId="15" xfId="5" applyFont="1" applyFill="1" applyBorder="1" applyAlignment="1">
      <alignment horizontal="left" vertical="center" wrapText="1"/>
    </xf>
    <xf numFmtId="0" fontId="3" fillId="4" borderId="21" xfId="5" applyFont="1" applyFill="1" applyBorder="1" applyAlignment="1">
      <alignment horizontal="center" vertical="center"/>
    </xf>
    <xf numFmtId="0" fontId="3" fillId="4" borderId="12" xfId="5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27" fillId="3" borderId="4" xfId="5" applyFont="1" applyFill="1" applyBorder="1" applyAlignment="1">
      <alignment horizontal="left" vertical="center" wrapText="1"/>
    </xf>
    <xf numFmtId="0" fontId="3" fillId="3" borderId="4" xfId="5" applyFont="1" applyFill="1" applyBorder="1" applyAlignment="1">
      <alignment horizontal="center" vertical="center"/>
    </xf>
    <xf numFmtId="0" fontId="2" fillId="3" borderId="13" xfId="5" applyFill="1" applyBorder="1" applyAlignment="1">
      <alignment vertical="center"/>
    </xf>
    <xf numFmtId="0" fontId="2" fillId="3" borderId="14" xfId="5" applyFill="1" applyBorder="1" applyAlignment="1">
      <alignment vertical="center"/>
    </xf>
    <xf numFmtId="0" fontId="2" fillId="3" borderId="15" xfId="5" applyFill="1" applyBorder="1" applyAlignment="1">
      <alignment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4" fontId="5" fillId="4" borderId="14" xfId="12" applyNumberFormat="1" applyFont="1" applyFill="1" applyBorder="1" applyAlignment="1">
      <alignment horizontal="left" vertical="center" wrapText="1"/>
    </xf>
    <xf numFmtId="4" fontId="5" fillId="4" borderId="15" xfId="12" applyNumberFormat="1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/>
    </xf>
    <xf numFmtId="10" fontId="3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20" xfId="0" applyFont="1" applyBorder="1" applyAlignment="1">
      <alignment vertical="center"/>
    </xf>
    <xf numFmtId="4" fontId="5" fillId="4" borderId="69" xfId="12" applyNumberFormat="1" applyFont="1" applyFill="1" applyBorder="1" applyAlignment="1">
      <alignment horizontal="left" vertical="center" wrapText="1"/>
    </xf>
    <xf numFmtId="4" fontId="5" fillId="4" borderId="70" xfId="12" applyNumberFormat="1" applyFont="1" applyFill="1" applyBorder="1" applyAlignment="1">
      <alignment horizontal="left" vertical="center" wrapText="1"/>
    </xf>
    <xf numFmtId="44" fontId="3" fillId="0" borderId="4" xfId="0" applyNumberFormat="1" applyFont="1" applyBorder="1" applyAlignment="1">
      <alignment vertical="center"/>
    </xf>
    <xf numFmtId="0" fontId="23" fillId="0" borderId="16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4" fontId="5" fillId="4" borderId="71" xfId="12" applyNumberFormat="1" applyFont="1" applyFill="1" applyBorder="1" applyAlignment="1">
      <alignment horizontal="left" vertical="center" wrapText="1"/>
    </xf>
    <xf numFmtId="4" fontId="5" fillId="4" borderId="17" xfId="12" applyNumberFormat="1" applyFont="1" applyFill="1" applyBorder="1" applyAlignment="1">
      <alignment horizontal="left" vertical="center" wrapText="1"/>
    </xf>
    <xf numFmtId="4" fontId="5" fillId="4" borderId="21" xfId="12" applyNumberFormat="1" applyFont="1" applyFill="1" applyBorder="1" applyAlignment="1">
      <alignment horizontal="left" vertical="center" wrapText="1"/>
    </xf>
    <xf numFmtId="0" fontId="3" fillId="0" borderId="71" xfId="0" applyFont="1" applyBorder="1" applyAlignment="1">
      <alignment horizontal="left" vertical="center"/>
    </xf>
    <xf numFmtId="0" fontId="3" fillId="0" borderId="69" xfId="0" applyFont="1" applyBorder="1" applyAlignment="1">
      <alignment horizontal="left" vertical="center"/>
    </xf>
    <xf numFmtId="0" fontId="3" fillId="0" borderId="70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5" fillId="4" borderId="82" xfId="12" applyFont="1" applyFill="1" applyBorder="1" applyAlignment="1">
      <alignment horizontal="left" vertical="center" wrapText="1"/>
    </xf>
    <xf numFmtId="0" fontId="5" fillId="4" borderId="15" xfId="12" applyFont="1" applyFill="1" applyBorder="1" applyAlignment="1">
      <alignment horizontal="left" vertical="center" wrapText="1"/>
    </xf>
    <xf numFmtId="0" fontId="2" fillId="3" borderId="13" xfId="5" applyFill="1" applyBorder="1" applyAlignment="1">
      <alignment horizontal="center" vertical="center" wrapText="1"/>
    </xf>
    <xf numFmtId="0" fontId="2" fillId="3" borderId="13" xfId="5" applyFill="1" applyBorder="1" applyAlignment="1">
      <alignment vertical="center" wrapText="1"/>
    </xf>
    <xf numFmtId="0" fontId="2" fillId="3" borderId="14" xfId="5" applyFill="1" applyBorder="1" applyAlignment="1">
      <alignment vertical="center" wrapText="1"/>
    </xf>
    <xf numFmtId="0" fontId="2" fillId="3" borderId="15" xfId="5" applyFill="1" applyBorder="1" applyAlignment="1">
      <alignment vertical="center" wrapText="1"/>
    </xf>
    <xf numFmtId="0" fontId="27" fillId="3" borderId="71" xfId="5" applyFont="1" applyFill="1" applyBorder="1" applyAlignment="1">
      <alignment horizontal="left" vertical="center" wrapText="1"/>
    </xf>
    <xf numFmtId="0" fontId="27" fillId="3" borderId="69" xfId="5" applyFont="1" applyFill="1" applyBorder="1" applyAlignment="1">
      <alignment horizontal="left" vertical="center" wrapText="1"/>
    </xf>
    <xf numFmtId="0" fontId="27" fillId="3" borderId="70" xfId="5" applyFont="1" applyFill="1" applyBorder="1" applyAlignment="1">
      <alignment horizontal="left" vertical="center" wrapText="1"/>
    </xf>
    <xf numFmtId="4" fontId="2" fillId="0" borderId="14" xfId="0" applyNumberFormat="1" applyFont="1" applyFill="1" applyBorder="1" applyAlignment="1">
      <alignment horizontal="left" vertical="center" wrapText="1"/>
    </xf>
    <xf numFmtId="4" fontId="2" fillId="0" borderId="84" xfId="0" applyNumberFormat="1" applyFont="1" applyFill="1" applyBorder="1" applyAlignment="1">
      <alignment horizontal="left" vertical="center" wrapText="1"/>
    </xf>
    <xf numFmtId="0" fontId="3" fillId="4" borderId="13" xfId="5" applyFont="1" applyFill="1" applyBorder="1" applyAlignment="1">
      <alignment horizontal="center"/>
    </xf>
    <xf numFmtId="0" fontId="3" fillId="4" borderId="14" xfId="5" applyFont="1" applyFill="1" applyBorder="1" applyAlignment="1">
      <alignment horizontal="center"/>
    </xf>
    <xf numFmtId="0" fontId="3" fillId="4" borderId="15" xfId="5" applyFont="1" applyFill="1" applyBorder="1" applyAlignment="1">
      <alignment horizontal="center"/>
    </xf>
    <xf numFmtId="0" fontId="3" fillId="0" borderId="13" xfId="0" applyFont="1" applyFill="1" applyBorder="1" applyAlignment="1">
      <alignment horizontal="right" vertical="center" wrapText="1"/>
    </xf>
    <xf numFmtId="0" fontId="3" fillId="0" borderId="14" xfId="0" applyFont="1" applyFill="1" applyBorder="1" applyAlignment="1">
      <alignment horizontal="right" vertical="center" wrapText="1"/>
    </xf>
    <xf numFmtId="0" fontId="3" fillId="0" borderId="15" xfId="0" applyFont="1" applyFill="1" applyBorder="1" applyAlignment="1">
      <alignment horizontal="right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4" fontId="2" fillId="0" borderId="13" xfId="0" applyNumberFormat="1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right" vertical="center" wrapText="1"/>
    </xf>
    <xf numFmtId="0" fontId="2" fillId="0" borderId="138" xfId="0" applyFont="1" applyBorder="1" applyAlignment="1">
      <alignment horizontal="center" vertical="center" wrapText="1"/>
    </xf>
    <xf numFmtId="0" fontId="2" fillId="0" borderId="139" xfId="0" applyFont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5" fillId="3" borderId="4" xfId="12" applyNumberFormat="1" applyFont="1" applyFill="1" applyBorder="1" applyAlignment="1">
      <alignment horizontal="left" vertical="center" wrapText="1"/>
    </xf>
    <xf numFmtId="0" fontId="5" fillId="4" borderId="118" xfId="12" applyFont="1" applyFill="1" applyBorder="1" applyAlignment="1">
      <alignment horizontal="center" vertical="center" wrapText="1"/>
    </xf>
    <xf numFmtId="0" fontId="5" fillId="4" borderId="73" xfId="12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left" vertical="center" wrapText="1"/>
    </xf>
    <xf numFmtId="0" fontId="3" fillId="4" borderId="65" xfId="0" applyFont="1" applyFill="1" applyBorder="1" applyAlignment="1">
      <alignment horizontal="left" vertical="center" wrapText="1"/>
    </xf>
    <xf numFmtId="0" fontId="3" fillId="4" borderId="66" xfId="0" applyFont="1" applyFill="1" applyBorder="1" applyAlignment="1">
      <alignment horizontal="left" vertical="center" wrapText="1"/>
    </xf>
    <xf numFmtId="0" fontId="3" fillId="22" borderId="16" xfId="0" applyFont="1" applyFill="1" applyBorder="1" applyAlignment="1">
      <alignment horizontal="left" vertical="center" wrapText="1"/>
    </xf>
    <xf numFmtId="0" fontId="3" fillId="22" borderId="3" xfId="0" applyFont="1" applyFill="1" applyBorder="1" applyAlignment="1">
      <alignment horizontal="left" vertical="center" wrapText="1"/>
    </xf>
    <xf numFmtId="0" fontId="3" fillId="22" borderId="2" xfId="0" applyFont="1" applyFill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3" borderId="4" xfId="12" applyNumberFormat="1" applyFont="1" applyFill="1" applyBorder="1" applyAlignment="1">
      <alignment horizontal="left" vertical="center"/>
    </xf>
    <xf numFmtId="165" fontId="5" fillId="0" borderId="71" xfId="12" applyNumberFormat="1" applyFont="1" applyFill="1" applyBorder="1" applyAlignment="1">
      <alignment horizontal="left" vertical="center" wrapText="1"/>
    </xf>
    <xf numFmtId="165" fontId="5" fillId="0" borderId="69" xfId="12" applyNumberFormat="1" applyFont="1" applyFill="1" applyBorder="1" applyAlignment="1">
      <alignment horizontal="left" vertical="center" wrapText="1"/>
    </xf>
    <xf numFmtId="10" fontId="5" fillId="0" borderId="4" xfId="2" applyNumberFormat="1" applyFont="1" applyBorder="1" applyAlignment="1">
      <alignment horizontal="left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2" fillId="0" borderId="71" xfId="0" applyFont="1" applyFill="1" applyBorder="1" applyAlignment="1">
      <alignment horizontal="center" vertical="center" wrapText="1"/>
    </xf>
    <xf numFmtId="0" fontId="2" fillId="0" borderId="70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right" vertical="center" wrapText="1"/>
    </xf>
    <xf numFmtId="0" fontId="3" fillId="0" borderId="69" xfId="0" applyFont="1" applyFill="1" applyBorder="1" applyAlignment="1">
      <alignment horizontal="right" vertical="center" wrapText="1"/>
    </xf>
    <xf numFmtId="0" fontId="3" fillId="0" borderId="70" xfId="0" applyFont="1" applyFill="1" applyBorder="1" applyAlignment="1">
      <alignment horizontal="right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88" xfId="0" applyFont="1" applyBorder="1" applyAlignment="1">
      <alignment horizontal="center" vertical="center" wrapText="1"/>
    </xf>
    <xf numFmtId="44" fontId="5" fillId="3" borderId="4" xfId="12" applyNumberFormat="1" applyFont="1" applyFill="1" applyBorder="1" applyAlignment="1">
      <alignment horizontal="left" vertical="center"/>
    </xf>
    <xf numFmtId="40" fontId="3" fillId="8" borderId="64" xfId="0" applyNumberFormat="1" applyFont="1" applyFill="1" applyBorder="1" applyAlignment="1">
      <alignment horizontal="center" vertical="center"/>
    </xf>
    <xf numFmtId="40" fontId="3" fillId="8" borderId="65" xfId="0" applyNumberFormat="1" applyFont="1" applyFill="1" applyBorder="1" applyAlignment="1">
      <alignment horizontal="center" vertical="center"/>
    </xf>
    <xf numFmtId="40" fontId="3" fillId="8" borderId="66" xfId="0" applyNumberFormat="1" applyFont="1" applyFill="1" applyBorder="1" applyAlignment="1">
      <alignment horizontal="center" vertical="center"/>
    </xf>
    <xf numFmtId="10" fontId="3" fillId="0" borderId="4" xfId="2" applyNumberFormat="1" applyFont="1" applyBorder="1" applyAlignment="1">
      <alignment horizontal="left" vertical="center" wrapText="1"/>
    </xf>
    <xf numFmtId="165" fontId="5" fillId="3" borderId="4" xfId="12" applyNumberFormat="1" applyFont="1" applyFill="1" applyBorder="1" applyAlignment="1">
      <alignment horizontal="left" vertical="center" wrapText="1"/>
    </xf>
    <xf numFmtId="0" fontId="5" fillId="4" borderId="90" xfId="12" applyFont="1" applyFill="1" applyBorder="1" applyAlignment="1">
      <alignment horizontal="center" vertical="center" wrapText="1"/>
    </xf>
    <xf numFmtId="0" fontId="5" fillId="4" borderId="92" xfId="12" applyFont="1" applyFill="1" applyBorder="1" applyAlignment="1">
      <alignment horizontal="center" vertical="center" wrapText="1"/>
    </xf>
    <xf numFmtId="169" fontId="5" fillId="3" borderId="4" xfId="0" applyNumberFormat="1" applyFont="1" applyFill="1" applyBorder="1" applyAlignment="1" applyProtection="1">
      <alignment horizontal="left" vertical="center" wrapText="1"/>
    </xf>
    <xf numFmtId="40" fontId="0" fillId="8" borderId="0" xfId="0" applyNumberFormat="1" applyFill="1" applyAlignment="1">
      <alignment horizontal="center"/>
    </xf>
    <xf numFmtId="40" fontId="3" fillId="8" borderId="0" xfId="0" applyNumberFormat="1" applyFont="1" applyFill="1" applyAlignment="1">
      <alignment horizontal="left" wrapText="1"/>
    </xf>
    <xf numFmtId="40" fontId="3" fillId="8" borderId="13" xfId="0" applyNumberFormat="1" applyFont="1" applyFill="1" applyBorder="1" applyAlignment="1">
      <alignment horizontal="center" wrapText="1"/>
    </xf>
    <xf numFmtId="40" fontId="3" fillId="8" borderId="14" xfId="0" applyNumberFormat="1" applyFont="1" applyFill="1" applyBorder="1" applyAlignment="1">
      <alignment horizontal="center" wrapText="1"/>
    </xf>
    <xf numFmtId="40" fontId="3" fillId="8" borderId="15" xfId="0" applyNumberFormat="1" applyFont="1" applyFill="1" applyBorder="1" applyAlignment="1">
      <alignment horizontal="center" wrapText="1"/>
    </xf>
    <xf numFmtId="40" fontId="2" fillId="15" borderId="13" xfId="0" applyNumberFormat="1" applyFont="1" applyFill="1" applyBorder="1" applyAlignment="1">
      <alignment horizontal="center"/>
    </xf>
    <xf numFmtId="40" fontId="2" fillId="15" borderId="14" xfId="0" applyNumberFormat="1" applyFont="1" applyFill="1" applyBorder="1" applyAlignment="1">
      <alignment horizontal="center"/>
    </xf>
    <xf numFmtId="165" fontId="5" fillId="3" borderId="4" xfId="12" applyNumberFormat="1" applyFont="1" applyFill="1" applyBorder="1" applyAlignment="1">
      <alignment vertical="center" wrapText="1"/>
    </xf>
    <xf numFmtId="10" fontId="3" fillId="0" borderId="12" xfId="2" applyNumberFormat="1" applyFont="1" applyBorder="1" applyAlignment="1">
      <alignment horizontal="left" vertical="center" wrapText="1"/>
    </xf>
    <xf numFmtId="0" fontId="3" fillId="8" borderId="0" xfId="0" applyFont="1" applyFill="1" applyAlignment="1">
      <alignment horizontal="left" wrapText="1"/>
    </xf>
    <xf numFmtId="40" fontId="2" fillId="8" borderId="69" xfId="0" applyNumberFormat="1" applyFont="1" applyFill="1" applyBorder="1" applyAlignment="1">
      <alignment horizontal="center" vertical="center"/>
    </xf>
    <xf numFmtId="40" fontId="3" fillId="8" borderId="64" xfId="0" applyNumberFormat="1" applyFont="1" applyFill="1" applyBorder="1" applyAlignment="1">
      <alignment horizontal="center"/>
    </xf>
    <xf numFmtId="40" fontId="3" fillId="8" borderId="65" xfId="0" applyNumberFormat="1" applyFont="1" applyFill="1" applyBorder="1" applyAlignment="1">
      <alignment horizontal="center"/>
    </xf>
    <xf numFmtId="40" fontId="3" fillId="8" borderId="66" xfId="0" applyNumberFormat="1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left" vertical="center" wrapText="1"/>
    </xf>
    <xf numFmtId="40" fontId="3" fillId="8" borderId="16" xfId="0" applyNumberFormat="1" applyFont="1" applyFill="1" applyBorder="1" applyAlignment="1">
      <alignment horizontal="center" vertical="center" wrapText="1"/>
    </xf>
    <xf numFmtId="40" fontId="3" fillId="8" borderId="2" xfId="0" applyNumberFormat="1" applyFont="1" applyFill="1" applyBorder="1" applyAlignment="1">
      <alignment horizontal="center" vertical="center" wrapText="1"/>
    </xf>
    <xf numFmtId="2" fontId="3" fillId="8" borderId="64" xfId="0" applyNumberFormat="1" applyFont="1" applyFill="1" applyBorder="1" applyAlignment="1">
      <alignment horizontal="center"/>
    </xf>
    <xf numFmtId="2" fontId="3" fillId="8" borderId="65" xfId="0" applyNumberFormat="1" applyFont="1" applyFill="1" applyBorder="1" applyAlignment="1">
      <alignment horizontal="center"/>
    </xf>
    <xf numFmtId="2" fontId="3" fillId="8" borderId="66" xfId="0" applyNumberFormat="1" applyFont="1" applyFill="1" applyBorder="1" applyAlignment="1">
      <alignment horizontal="center"/>
    </xf>
    <xf numFmtId="40" fontId="3" fillId="8" borderId="13" xfId="0" applyNumberFormat="1" applyFont="1" applyFill="1" applyBorder="1" applyAlignment="1">
      <alignment horizontal="center" vertical="top" wrapText="1"/>
    </xf>
    <xf numFmtId="40" fontId="3" fillId="8" borderId="14" xfId="0" applyNumberFormat="1" applyFont="1" applyFill="1" applyBorder="1" applyAlignment="1">
      <alignment horizontal="center" vertical="top" wrapText="1"/>
    </xf>
    <xf numFmtId="40" fontId="3" fillId="8" borderId="15" xfId="0" applyNumberFormat="1" applyFont="1" applyFill="1" applyBorder="1" applyAlignment="1">
      <alignment horizontal="center" vertical="top" wrapText="1"/>
    </xf>
    <xf numFmtId="40" fontId="3" fillId="8" borderId="13" xfId="0" applyNumberFormat="1" applyFont="1" applyFill="1" applyBorder="1" applyAlignment="1">
      <alignment horizontal="center" vertical="center" wrapText="1"/>
    </xf>
    <xf numFmtId="40" fontId="3" fillId="8" borderId="14" xfId="0" applyNumberFormat="1" applyFont="1" applyFill="1" applyBorder="1" applyAlignment="1">
      <alignment horizontal="center" vertical="center" wrapText="1"/>
    </xf>
    <xf numFmtId="40" fontId="3" fillId="8" borderId="15" xfId="0" applyNumberFormat="1" applyFont="1" applyFill="1" applyBorder="1" applyAlignment="1">
      <alignment horizontal="center" vertical="center" wrapText="1"/>
    </xf>
    <xf numFmtId="40" fontId="2" fillId="8" borderId="13" xfId="0" applyNumberFormat="1" applyFont="1" applyFill="1" applyBorder="1" applyAlignment="1">
      <alignment horizontal="center" vertical="center" wrapText="1"/>
    </xf>
    <xf numFmtId="40" fontId="2" fillId="8" borderId="14" xfId="0" applyNumberFormat="1" applyFont="1" applyFill="1" applyBorder="1" applyAlignment="1">
      <alignment horizontal="center" vertical="center" wrapText="1"/>
    </xf>
    <xf numFmtId="40" fontId="2" fillId="8" borderId="15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40" fontId="3" fillId="0" borderId="0" xfId="0" applyNumberFormat="1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122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40" fontId="3" fillId="0" borderId="16" xfId="0" applyNumberFormat="1" applyFont="1" applyFill="1" applyBorder="1" applyAlignment="1">
      <alignment horizontal="center" vertical="center" wrapText="1"/>
    </xf>
    <xf numFmtId="40" fontId="3" fillId="0" borderId="2" xfId="0" applyNumberFormat="1" applyFont="1" applyFill="1" applyBorder="1" applyAlignment="1">
      <alignment horizontal="center" vertical="center" wrapText="1"/>
    </xf>
    <xf numFmtId="2" fontId="3" fillId="8" borderId="114" xfId="0" applyNumberFormat="1" applyFont="1" applyFill="1" applyBorder="1" applyAlignment="1">
      <alignment horizontal="center"/>
    </xf>
    <xf numFmtId="2" fontId="3" fillId="8" borderId="115" xfId="0" applyNumberFormat="1" applyFont="1" applyFill="1" applyBorder="1" applyAlignment="1">
      <alignment horizontal="center"/>
    </xf>
    <xf numFmtId="2" fontId="3" fillId="8" borderId="116" xfId="0" applyNumberFormat="1" applyFont="1" applyFill="1" applyBorder="1" applyAlignment="1">
      <alignment horizontal="center"/>
    </xf>
    <xf numFmtId="2" fontId="3" fillId="8" borderId="135" xfId="0" applyNumberFormat="1" applyFont="1" applyFill="1" applyBorder="1" applyAlignment="1">
      <alignment horizontal="center"/>
    </xf>
    <xf numFmtId="2" fontId="3" fillId="8" borderId="136" xfId="0" applyNumberFormat="1" applyFont="1" applyFill="1" applyBorder="1" applyAlignment="1">
      <alignment horizontal="center"/>
    </xf>
    <xf numFmtId="2" fontId="3" fillId="8" borderId="13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40" fontId="2" fillId="8" borderId="0" xfId="0" applyNumberFormat="1" applyFont="1" applyFill="1" applyBorder="1" applyAlignment="1">
      <alignment horizontal="center" vertical="center" wrapText="1"/>
    </xf>
    <xf numFmtId="40" fontId="0" fillId="0" borderId="0" xfId="0" applyNumberFormat="1" applyBorder="1" applyAlignment="1">
      <alignment horizontal="center" vertical="center" wrapText="1"/>
    </xf>
    <xf numFmtId="40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0" fontId="3" fillId="20" borderId="115" xfId="0" applyFont="1" applyFill="1" applyBorder="1" applyAlignment="1">
      <alignment horizontal="center" vertical="center"/>
    </xf>
    <xf numFmtId="0" fontId="3" fillId="20" borderId="116" xfId="0" applyFont="1" applyFill="1" applyBorder="1" applyAlignment="1">
      <alignment horizontal="center" vertical="center"/>
    </xf>
    <xf numFmtId="40" fontId="2" fillId="0" borderId="0" xfId="0" applyNumberFormat="1" applyFont="1" applyFill="1" applyBorder="1" applyAlignment="1">
      <alignment horizontal="center" vertical="center" wrapText="1"/>
    </xf>
    <xf numFmtId="40" fontId="3" fillId="8" borderId="0" xfId="0" applyNumberFormat="1" applyFont="1" applyFill="1" applyAlignment="1">
      <alignment horizontal="center" vertical="center" wrapText="1"/>
    </xf>
    <xf numFmtId="40" fontId="3" fillId="0" borderId="3" xfId="0" applyNumberFormat="1" applyFont="1" applyFill="1" applyBorder="1" applyAlignment="1">
      <alignment horizontal="center" vertical="center" wrapText="1"/>
    </xf>
    <xf numFmtId="40" fontId="2" fillId="8" borderId="4" xfId="0" applyNumberFormat="1" applyFont="1" applyFill="1" applyBorder="1" applyAlignment="1">
      <alignment horizontal="center" vertical="center" wrapText="1"/>
    </xf>
    <xf numFmtId="40" fontId="3" fillId="0" borderId="4" xfId="0" applyNumberFormat="1" applyFont="1" applyFill="1" applyBorder="1" applyAlignment="1">
      <alignment horizontal="center" vertical="center" wrapText="1"/>
    </xf>
    <xf numFmtId="40" fontId="2" fillId="8" borderId="20" xfId="0" applyNumberFormat="1" applyFont="1" applyFill="1" applyBorder="1" applyAlignment="1">
      <alignment horizontal="center" vertical="center" wrapText="1"/>
    </xf>
    <xf numFmtId="40" fontId="2" fillId="8" borderId="12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40" fontId="2" fillId="8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/>
    </xf>
    <xf numFmtId="40" fontId="3" fillId="8" borderId="0" xfId="0" applyNumberFormat="1" applyFont="1" applyFill="1" applyAlignment="1">
      <alignment horizontal="center" vertical="center"/>
    </xf>
    <xf numFmtId="40" fontId="2" fillId="0" borderId="0" xfId="0" applyNumberFormat="1" applyFont="1" applyFill="1" applyBorder="1" applyAlignment="1">
      <alignment horizontal="center" wrapText="1"/>
    </xf>
    <xf numFmtId="0" fontId="3" fillId="20" borderId="16" xfId="0" applyFont="1" applyFill="1" applyBorder="1" applyAlignment="1">
      <alignment horizontal="center"/>
    </xf>
    <xf numFmtId="0" fontId="3" fillId="20" borderId="3" xfId="0" applyFont="1" applyFill="1" applyBorder="1" applyAlignment="1">
      <alignment horizontal="center"/>
    </xf>
    <xf numFmtId="0" fontId="3" fillId="20" borderId="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40" fontId="2" fillId="0" borderId="20" xfId="0" applyNumberFormat="1" applyFont="1" applyFill="1" applyBorder="1" applyAlignment="1">
      <alignment horizontal="center" vertical="center" wrapText="1"/>
    </xf>
    <xf numFmtId="40" fontId="2" fillId="0" borderId="12" xfId="0" applyNumberFormat="1" applyFont="1" applyFill="1" applyBorder="1" applyAlignment="1">
      <alignment horizontal="center" vertical="center" wrapText="1"/>
    </xf>
    <xf numFmtId="0" fontId="3" fillId="2" borderId="122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40" fontId="2" fillId="0" borderId="13" xfId="0" applyNumberFormat="1" applyFont="1" applyFill="1" applyBorder="1" applyAlignment="1">
      <alignment horizontal="center" vertical="center" wrapText="1"/>
    </xf>
    <xf numFmtId="40" fontId="2" fillId="0" borderId="15" xfId="0" applyNumberFormat="1" applyFont="1" applyFill="1" applyBorder="1" applyAlignment="1">
      <alignment horizontal="center" vertical="center" wrapText="1"/>
    </xf>
    <xf numFmtId="40" fontId="3" fillId="8" borderId="3" xfId="0" applyNumberFormat="1" applyFont="1" applyFill="1" applyBorder="1" applyAlignment="1">
      <alignment horizontal="center" vertical="center" wrapText="1"/>
    </xf>
    <xf numFmtId="40" fontId="3" fillId="19" borderId="16" xfId="0" applyNumberFormat="1" applyFont="1" applyFill="1" applyBorder="1" applyAlignment="1">
      <alignment horizontal="center" vertical="center" wrapText="1"/>
    </xf>
    <xf numFmtId="40" fontId="3" fillId="19" borderId="3" xfId="0" applyNumberFormat="1" applyFont="1" applyFill="1" applyBorder="1" applyAlignment="1">
      <alignment horizontal="center" vertical="center" wrapText="1"/>
    </xf>
    <xf numFmtId="40" fontId="3" fillId="0" borderId="13" xfId="0" applyNumberFormat="1" applyFont="1" applyFill="1" applyBorder="1" applyAlignment="1">
      <alignment horizontal="center" vertical="center" wrapText="1"/>
    </xf>
    <xf numFmtId="40" fontId="3" fillId="0" borderId="14" xfId="0" applyNumberFormat="1" applyFont="1" applyFill="1" applyBorder="1" applyAlignment="1">
      <alignment horizontal="center" vertical="center" wrapText="1"/>
    </xf>
    <xf numFmtId="40" fontId="3" fillId="0" borderId="15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0" fontId="2" fillId="8" borderId="18" xfId="0" applyNumberFormat="1" applyFont="1" applyFill="1" applyBorder="1" applyAlignment="1">
      <alignment horizontal="center" vertical="center" wrapText="1"/>
    </xf>
    <xf numFmtId="40" fontId="2" fillId="8" borderId="0" xfId="0" applyNumberFormat="1" applyFont="1" applyFill="1" applyAlignment="1">
      <alignment horizontal="left" vertical="center" wrapText="1"/>
    </xf>
    <xf numFmtId="40" fontId="2" fillId="8" borderId="71" xfId="0" applyNumberFormat="1" applyFont="1" applyFill="1" applyBorder="1" applyAlignment="1">
      <alignment horizontal="center" vertical="center" wrapText="1"/>
    </xf>
    <xf numFmtId="40" fontId="2" fillId="8" borderId="69" xfId="0" applyNumberFormat="1" applyFont="1" applyFill="1" applyBorder="1" applyAlignment="1">
      <alignment horizontal="center" vertical="center" wrapText="1"/>
    </xf>
    <xf numFmtId="40" fontId="2" fillId="8" borderId="17" xfId="0" applyNumberFormat="1" applyFont="1" applyFill="1" applyBorder="1" applyAlignment="1">
      <alignment horizontal="center" vertical="center" wrapText="1"/>
    </xf>
    <xf numFmtId="0" fontId="3" fillId="3" borderId="4" xfId="12" applyNumberFormat="1" applyFont="1" applyFill="1" applyBorder="1" applyAlignment="1">
      <alignment horizontal="left" vertical="center"/>
    </xf>
    <xf numFmtId="44" fontId="3" fillId="3" borderId="4" xfId="12" applyNumberFormat="1" applyFont="1" applyFill="1" applyBorder="1" applyAlignment="1">
      <alignment horizontal="left" vertical="center"/>
    </xf>
    <xf numFmtId="0" fontId="3" fillId="3" borderId="4" xfId="12" applyNumberFormat="1" applyFont="1" applyFill="1" applyBorder="1" applyAlignment="1">
      <alignment horizontal="left" vertical="center" wrapText="1"/>
    </xf>
    <xf numFmtId="0" fontId="3" fillId="4" borderId="118" xfId="12" applyFont="1" applyFill="1" applyBorder="1" applyAlignment="1">
      <alignment horizontal="center" vertical="center" wrapText="1"/>
    </xf>
    <xf numFmtId="0" fontId="3" fillId="4" borderId="73" xfId="12" applyFont="1" applyFill="1" applyBorder="1" applyAlignment="1">
      <alignment horizontal="center" vertical="center" wrapText="1"/>
    </xf>
    <xf numFmtId="0" fontId="3" fillId="4" borderId="17" xfId="12" applyFont="1" applyFill="1" applyBorder="1" applyAlignment="1">
      <alignment horizontal="center" vertical="center" wrapText="1"/>
    </xf>
    <xf numFmtId="0" fontId="3" fillId="4" borderId="21" xfId="12" applyFont="1" applyFill="1" applyBorder="1" applyAlignment="1">
      <alignment horizontal="center" vertical="center" wrapText="1"/>
    </xf>
    <xf numFmtId="165" fontId="3" fillId="3" borderId="4" xfId="12" applyNumberFormat="1" applyFont="1" applyFill="1" applyBorder="1" applyAlignment="1">
      <alignment vertical="center" wrapText="1"/>
    </xf>
    <xf numFmtId="0" fontId="3" fillId="4" borderId="90" xfId="12" applyFont="1" applyFill="1" applyBorder="1" applyAlignment="1">
      <alignment horizontal="left" vertical="center" wrapText="1"/>
    </xf>
    <xf numFmtId="0" fontId="3" fillId="4" borderId="92" xfId="12" applyFont="1" applyFill="1" applyBorder="1" applyAlignment="1">
      <alignment horizontal="left" vertical="center" wrapText="1"/>
    </xf>
    <xf numFmtId="4" fontId="3" fillId="0" borderId="0" xfId="12" applyNumberFormat="1" applyFont="1" applyAlignment="1">
      <alignment horizontal="left" vertical="center" wrapText="1"/>
    </xf>
    <xf numFmtId="0" fontId="3" fillId="0" borderId="0" xfId="12" applyFont="1" applyAlignment="1">
      <alignment horizontal="left" vertical="center" wrapText="1"/>
    </xf>
    <xf numFmtId="0" fontId="3" fillId="0" borderId="0" xfId="12" applyFont="1" applyAlignment="1">
      <alignment horizontal="left" wrapText="1"/>
    </xf>
    <xf numFmtId="0" fontId="5" fillId="0" borderId="16" xfId="12" applyFont="1" applyBorder="1" applyAlignment="1">
      <alignment horizontal="center" vertical="center" wrapText="1"/>
    </xf>
    <xf numFmtId="0" fontId="5" fillId="0" borderId="3" xfId="12" applyFont="1" applyBorder="1" applyAlignment="1">
      <alignment horizontal="center" vertical="center" wrapText="1"/>
    </xf>
    <xf numFmtId="0" fontId="5" fillId="0" borderId="2" xfId="12" applyFont="1" applyBorder="1" applyAlignment="1">
      <alignment horizontal="center" vertical="center" wrapText="1"/>
    </xf>
    <xf numFmtId="4" fontId="3" fillId="0" borderId="0" xfId="12" applyNumberFormat="1" applyFont="1" applyAlignment="1">
      <alignment horizontal="left" vertical="top" wrapText="1"/>
    </xf>
    <xf numFmtId="40" fontId="3" fillId="8" borderId="64" xfId="12" applyNumberFormat="1" applyFont="1" applyFill="1" applyBorder="1" applyAlignment="1">
      <alignment horizontal="center" vertical="center"/>
    </xf>
    <xf numFmtId="40" fontId="3" fillId="8" borderId="65" xfId="12" applyNumberFormat="1" applyFont="1" applyFill="1" applyBorder="1" applyAlignment="1">
      <alignment horizontal="center" vertical="center"/>
    </xf>
    <xf numFmtId="40" fontId="3" fillId="8" borderId="66" xfId="12" applyNumberFormat="1" applyFont="1" applyFill="1" applyBorder="1" applyAlignment="1">
      <alignment horizontal="center" vertical="center"/>
    </xf>
    <xf numFmtId="0" fontId="5" fillId="4" borderId="4" xfId="12" applyFont="1" applyFill="1" applyBorder="1" applyAlignment="1">
      <alignment horizontal="center" vertical="center" wrapText="1"/>
    </xf>
    <xf numFmtId="165" fontId="5" fillId="3" borderId="70" xfId="12" applyNumberFormat="1" applyFont="1" applyFill="1" applyBorder="1" applyAlignment="1">
      <alignment horizontal="left" vertical="center" wrapText="1"/>
    </xf>
    <xf numFmtId="165" fontId="5" fillId="3" borderId="21" xfId="12" applyNumberFormat="1" applyFont="1" applyFill="1" applyBorder="1" applyAlignment="1">
      <alignment horizontal="left" vertical="center" wrapText="1"/>
    </xf>
    <xf numFmtId="169" fontId="5" fillId="3" borderId="15" xfId="0" applyNumberFormat="1" applyFont="1" applyFill="1" applyBorder="1" applyAlignment="1" applyProtection="1">
      <alignment horizontal="left" vertical="center" wrapText="1"/>
    </xf>
    <xf numFmtId="0" fontId="5" fillId="3" borderId="69" xfId="12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44" fontId="5" fillId="3" borderId="13" xfId="12" applyNumberFormat="1" applyFont="1" applyFill="1" applyBorder="1" applyAlignment="1">
      <alignment horizontal="center" vertical="center"/>
    </xf>
    <xf numFmtId="44" fontId="5" fillId="3" borderId="14" xfId="12" applyNumberFormat="1" applyFont="1" applyFill="1" applyBorder="1" applyAlignment="1">
      <alignment horizontal="center" vertical="center"/>
    </xf>
    <xf numFmtId="44" fontId="5" fillId="3" borderId="15" xfId="12" applyNumberFormat="1" applyFont="1" applyFill="1" applyBorder="1" applyAlignment="1">
      <alignment horizontal="center" vertical="center"/>
    </xf>
    <xf numFmtId="40" fontId="5" fillId="3" borderId="0" xfId="3" applyNumberFormat="1" applyFont="1" applyFill="1" applyAlignment="1">
      <alignment horizontal="left" vertical="center" wrapText="1"/>
    </xf>
    <xf numFmtId="0" fontId="2" fillId="0" borderId="0" xfId="12" applyFont="1" applyFill="1" applyBorder="1" applyAlignment="1">
      <alignment horizontal="center" vertical="center"/>
    </xf>
    <xf numFmtId="40" fontId="3" fillId="3" borderId="0" xfId="3" applyNumberFormat="1" applyFont="1" applyFill="1" applyAlignment="1">
      <alignment horizontal="left" vertical="center" wrapText="1"/>
    </xf>
    <xf numFmtId="40" fontId="21" fillId="3" borderId="0" xfId="3" applyNumberFormat="1" applyFont="1" applyFill="1" applyAlignment="1">
      <alignment horizontal="left" vertical="top" wrapText="1"/>
    </xf>
    <xf numFmtId="0" fontId="3" fillId="2" borderId="122" xfId="12" applyFont="1" applyFill="1" applyBorder="1" applyAlignment="1">
      <alignment horizontal="center"/>
    </xf>
    <xf numFmtId="0" fontId="3" fillId="2" borderId="6" xfId="12" applyFont="1" applyFill="1" applyBorder="1" applyAlignment="1">
      <alignment horizontal="center"/>
    </xf>
    <xf numFmtId="40" fontId="3" fillId="3" borderId="0" xfId="3" applyNumberFormat="1" applyFont="1" applyFill="1" applyAlignment="1">
      <alignment horizontal="left" wrapText="1"/>
    </xf>
    <xf numFmtId="0" fontId="2" fillId="0" borderId="20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3" borderId="4" xfId="12" applyFont="1" applyFill="1" applyBorder="1" applyAlignment="1">
      <alignment horizontal="center" vertical="center" wrapText="1"/>
    </xf>
    <xf numFmtId="2" fontId="2" fillId="3" borderId="4" xfId="12" applyNumberFormat="1" applyFill="1" applyBorder="1" applyAlignment="1">
      <alignment horizontal="center" vertical="center"/>
    </xf>
    <xf numFmtId="40" fontId="3" fillId="3" borderId="0" xfId="3" applyNumberFormat="1" applyFont="1" applyFill="1" applyAlignment="1">
      <alignment horizontal="left" vertical="top" wrapText="1"/>
    </xf>
    <xf numFmtId="40" fontId="21" fillId="3" borderId="16" xfId="3" applyNumberFormat="1" applyFont="1" applyFill="1" applyBorder="1" applyAlignment="1">
      <alignment horizontal="center" vertical="top" wrapText="1"/>
    </xf>
    <xf numFmtId="40" fontId="21" fillId="3" borderId="2" xfId="3" applyNumberFormat="1" applyFont="1" applyFill="1" applyBorder="1" applyAlignment="1">
      <alignment horizontal="center" vertical="top" wrapText="1"/>
    </xf>
    <xf numFmtId="40" fontId="21" fillId="3" borderId="0" xfId="3" applyNumberFormat="1" applyFont="1" applyFill="1" applyAlignment="1">
      <alignment horizontal="left" vertical="center" wrapText="1"/>
    </xf>
    <xf numFmtId="0" fontId="5" fillId="3" borderId="20" xfId="12" applyNumberFormat="1" applyFont="1" applyFill="1" applyBorder="1" applyAlignment="1">
      <alignment horizontal="left" vertical="center"/>
    </xf>
    <xf numFmtId="40" fontId="3" fillId="8" borderId="0" xfId="12" applyNumberFormat="1" applyFont="1" applyFill="1" applyAlignment="1">
      <alignment horizontal="left" vertical="top" wrapText="1"/>
    </xf>
    <xf numFmtId="40" fontId="3" fillId="8" borderId="64" xfId="12" applyNumberFormat="1" applyFont="1" applyFill="1" applyBorder="1" applyAlignment="1">
      <alignment horizontal="center" wrapText="1"/>
    </xf>
    <xf numFmtId="40" fontId="3" fillId="8" borderId="65" xfId="12" applyNumberFormat="1" applyFont="1" applyFill="1" applyBorder="1" applyAlignment="1">
      <alignment horizontal="center" wrapText="1"/>
    </xf>
    <xf numFmtId="40" fontId="3" fillId="8" borderId="66" xfId="12" applyNumberFormat="1" applyFont="1" applyFill="1" applyBorder="1" applyAlignment="1">
      <alignment horizontal="center" wrapText="1"/>
    </xf>
    <xf numFmtId="40" fontId="3" fillId="8" borderId="64" xfId="12" applyNumberFormat="1" applyFont="1" applyFill="1" applyBorder="1" applyAlignment="1">
      <alignment horizontal="center" vertical="top" wrapText="1"/>
    </xf>
    <xf numFmtId="40" fontId="3" fillId="8" borderId="65" xfId="12" applyNumberFormat="1" applyFont="1" applyFill="1" applyBorder="1" applyAlignment="1">
      <alignment horizontal="center" vertical="top" wrapText="1"/>
    </xf>
    <xf numFmtId="40" fontId="3" fillId="8" borderId="66" xfId="12" applyNumberFormat="1" applyFont="1" applyFill="1" applyBorder="1" applyAlignment="1">
      <alignment horizontal="center" vertical="top" wrapText="1"/>
    </xf>
    <xf numFmtId="0" fontId="5" fillId="4" borderId="13" xfId="12" applyFont="1" applyFill="1" applyBorder="1" applyAlignment="1">
      <alignment horizontal="center" vertical="center" wrapText="1"/>
    </xf>
    <xf numFmtId="0" fontId="5" fillId="4" borderId="15" xfId="12" applyFont="1" applyFill="1" applyBorder="1" applyAlignment="1">
      <alignment horizontal="center" vertical="center" wrapText="1"/>
    </xf>
    <xf numFmtId="44" fontId="5" fillId="3" borderId="4" xfId="12" applyNumberFormat="1" applyFont="1" applyFill="1" applyBorder="1" applyAlignment="1">
      <alignment horizontal="center" vertical="center"/>
    </xf>
    <xf numFmtId="40" fontId="2" fillId="3" borderId="4" xfId="3" applyNumberFormat="1" applyFill="1" applyBorder="1" applyAlignment="1">
      <alignment horizontal="center" wrapText="1"/>
    </xf>
    <xf numFmtId="0" fontId="2" fillId="0" borderId="0" xfId="12" applyAlignment="1">
      <alignment horizontal="center"/>
    </xf>
    <xf numFmtId="40" fontId="2" fillId="3" borderId="20" xfId="3" applyNumberFormat="1" applyFill="1" applyBorder="1" applyAlignment="1">
      <alignment horizontal="center" vertical="center" wrapText="1"/>
    </xf>
    <xf numFmtId="40" fontId="2" fillId="3" borderId="19" xfId="3" applyNumberFormat="1" applyFill="1" applyBorder="1" applyAlignment="1">
      <alignment horizontal="center" vertical="center" wrapText="1"/>
    </xf>
    <xf numFmtId="40" fontId="2" fillId="3" borderId="12" xfId="3" applyNumberFormat="1" applyFill="1" applyBorder="1" applyAlignment="1">
      <alignment horizontal="center" vertical="center" wrapText="1"/>
    </xf>
    <xf numFmtId="40" fontId="2" fillId="3" borderId="0" xfId="3" applyNumberFormat="1" applyFill="1" applyAlignment="1">
      <alignment horizontal="center" vertical="center"/>
    </xf>
    <xf numFmtId="40" fontId="2" fillId="13" borderId="13" xfId="0" applyNumberFormat="1" applyFont="1" applyFill="1" applyBorder="1" applyAlignment="1">
      <alignment horizontal="center"/>
    </xf>
    <xf numFmtId="40" fontId="2" fillId="13" borderId="14" xfId="0" applyNumberFormat="1" applyFont="1" applyFill="1" applyBorder="1" applyAlignment="1">
      <alignment horizontal="center"/>
    </xf>
    <xf numFmtId="40" fontId="2" fillId="9" borderId="0" xfId="0" applyNumberFormat="1" applyFont="1" applyFill="1" applyAlignment="1">
      <alignment horizontal="left"/>
    </xf>
    <xf numFmtId="40" fontId="3" fillId="8" borderId="119" xfId="0" applyNumberFormat="1" applyFont="1" applyFill="1" applyBorder="1" applyAlignment="1">
      <alignment horizontal="center" vertical="center"/>
    </xf>
    <xf numFmtId="40" fontId="3" fillId="8" borderId="120" xfId="0" applyNumberFormat="1" applyFont="1" applyFill="1" applyBorder="1" applyAlignment="1">
      <alignment horizontal="center" vertical="center"/>
    </xf>
    <xf numFmtId="40" fontId="3" fillId="8" borderId="121" xfId="0" applyNumberFormat="1" applyFont="1" applyFill="1" applyBorder="1" applyAlignment="1">
      <alignment horizontal="center" vertical="center"/>
    </xf>
    <xf numFmtId="40" fontId="2" fillId="3" borderId="4" xfId="3" applyNumberFormat="1" applyFont="1" applyFill="1" applyBorder="1" applyAlignment="1">
      <alignment horizontal="center" vertical="center" wrapText="1"/>
    </xf>
    <xf numFmtId="176" fontId="29" fillId="0" borderId="0" xfId="22" applyFont="1" applyFill="1" applyBorder="1" applyAlignment="1">
      <alignment horizontal="left" vertical="center" wrapText="1"/>
    </xf>
    <xf numFmtId="0" fontId="29" fillId="0" borderId="0" xfId="22" applyNumberFormat="1" applyFont="1" applyFill="1" applyBorder="1" applyAlignment="1">
      <alignment horizontal="left" vertical="center" wrapText="1"/>
    </xf>
    <xf numFmtId="4" fontId="29" fillId="0" borderId="0" xfId="22" applyNumberFormat="1" applyFont="1" applyFill="1" applyBorder="1" applyAlignment="1">
      <alignment horizontal="left" vertical="center" wrapText="1"/>
    </xf>
    <xf numFmtId="176" fontId="2" fillId="0" borderId="4" xfId="21" applyFont="1" applyFill="1" applyBorder="1" applyAlignment="1">
      <alignment horizontal="left"/>
    </xf>
    <xf numFmtId="4" fontId="5" fillId="0" borderId="0" xfId="22" applyNumberFormat="1" applyFont="1" applyFill="1" applyBorder="1" applyAlignment="1">
      <alignment horizontal="left" vertical="center" wrapText="1"/>
    </xf>
    <xf numFmtId="0" fontId="5" fillId="0" borderId="0" xfId="22" applyNumberFormat="1" applyFont="1" applyFill="1" applyBorder="1" applyAlignment="1">
      <alignment horizontal="left" vertical="center" wrapText="1"/>
    </xf>
    <xf numFmtId="176" fontId="5" fillId="0" borderId="0" xfId="22" applyFont="1" applyFill="1" applyBorder="1" applyAlignment="1">
      <alignment horizontal="left" vertical="center" wrapText="1"/>
    </xf>
    <xf numFmtId="176" fontId="2" fillId="0" borderId="69" xfId="21" applyFont="1" applyFill="1" applyBorder="1" applyAlignment="1">
      <alignment horizontal="center" vertical="center" wrapText="1"/>
    </xf>
    <xf numFmtId="176" fontId="2" fillId="0" borderId="0" xfId="21" applyFont="1" applyFill="1" applyBorder="1" applyAlignment="1">
      <alignment horizontal="center" vertical="center" wrapText="1"/>
    </xf>
    <xf numFmtId="176" fontId="2" fillId="0" borderId="18" xfId="21" applyFont="1" applyFill="1" applyBorder="1" applyAlignment="1">
      <alignment horizontal="center" vertical="center" wrapText="1"/>
    </xf>
    <xf numFmtId="176" fontId="2" fillId="0" borderId="4" xfId="21" applyFont="1" applyFill="1" applyBorder="1" applyAlignment="1">
      <alignment horizontal="center" vertical="center" wrapText="1"/>
    </xf>
    <xf numFmtId="0" fontId="2" fillId="0" borderId="4" xfId="21" applyNumberFormat="1" applyFont="1" applyFill="1" applyBorder="1" applyAlignment="1">
      <alignment horizontal="center" vertical="center"/>
    </xf>
    <xf numFmtId="0" fontId="2" fillId="0" borderId="69" xfId="21" applyNumberFormat="1" applyFont="1" applyFill="1" applyBorder="1" applyAlignment="1">
      <alignment horizontal="center" vertical="center"/>
    </xf>
    <xf numFmtId="0" fontId="2" fillId="0" borderId="0" xfId="21" applyNumberFormat="1" applyFont="1" applyFill="1" applyBorder="1" applyAlignment="1">
      <alignment horizontal="center" vertical="center"/>
    </xf>
    <xf numFmtId="176" fontId="2" fillId="0" borderId="13" xfId="21" applyFont="1" applyFill="1" applyBorder="1" applyAlignment="1">
      <alignment horizontal="left"/>
    </xf>
    <xf numFmtId="176" fontId="2" fillId="0" borderId="14" xfId="21" applyFont="1" applyFill="1" applyBorder="1" applyAlignment="1">
      <alignment horizontal="left"/>
    </xf>
    <xf numFmtId="176" fontId="2" fillId="0" borderId="15" xfId="21" applyFont="1" applyFill="1" applyBorder="1" applyAlignment="1">
      <alignment horizontal="left"/>
    </xf>
    <xf numFmtId="40" fontId="3" fillId="8" borderId="0" xfId="0" applyNumberFormat="1" applyFont="1" applyFill="1" applyAlignment="1">
      <alignment horizontal="left" vertical="center"/>
    </xf>
  </cellXfs>
  <cellStyles count="26">
    <cellStyle name="Moeda" xfId="16" builtinId="4"/>
    <cellStyle name="Moeda 2" xfId="4"/>
    <cellStyle name="Moeda 3" xfId="24"/>
    <cellStyle name="Moeda 6" xfId="19"/>
    <cellStyle name="Normal" xfId="0" builtinId="0"/>
    <cellStyle name="Normal 10" xfId="25"/>
    <cellStyle name="Normal 12" xfId="23"/>
    <cellStyle name="Normal 17" xfId="12"/>
    <cellStyle name="Normal 17 2" xfId="20"/>
    <cellStyle name="Normal 2" xfId="5"/>
    <cellStyle name="Normal 2 2" xfId="22"/>
    <cellStyle name="Normal 2 2 2" xfId="18"/>
    <cellStyle name="Normal 2 22" xfId="13"/>
    <cellStyle name="Normal 3" xfId="6"/>
    <cellStyle name="Normal 4" xfId="7"/>
    <cellStyle name="Normal 5" xfId="3"/>
    <cellStyle name="Normal 6" xfId="15"/>
    <cellStyle name="Normal 7" xfId="21"/>
    <cellStyle name="Porcentagem" xfId="2" builtinId="5"/>
    <cellStyle name="Porcentagem 2" xfId="8"/>
    <cellStyle name="Porcentagem 3" xfId="9"/>
    <cellStyle name="Separador de milhares 3" xfId="10"/>
    <cellStyle name="Vírgula" xfId="1" builtinId="3"/>
    <cellStyle name="Vírgula 2" xfId="11"/>
    <cellStyle name="Vírgula 4" xfId="14"/>
    <cellStyle name="Vírgula 5" xfId="17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4.jpeg"/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4.jpeg"/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114301</xdr:colOff>
      <xdr:row>23</xdr:row>
      <xdr:rowOff>47625</xdr:rowOff>
    </xdr:from>
    <xdr:to>
      <xdr:col>6</xdr:col>
      <xdr:colOff>495300</xdr:colOff>
      <xdr:row>24</xdr:row>
      <xdr:rowOff>19050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4229100"/>
          <a:ext cx="3428999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542926</xdr:colOff>
      <xdr:row>7</xdr:row>
      <xdr:rowOff>138907</xdr:rowOff>
    </xdr:from>
    <xdr:to>
      <xdr:col>18</xdr:col>
      <xdr:colOff>197644</xdr:colOff>
      <xdr:row>30</xdr:row>
      <xdr:rowOff>88216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897"/>
        <a:stretch>
          <a:fillRect/>
        </a:stretch>
      </xdr:blipFill>
      <xdr:spPr bwMode="auto">
        <a:xfrm>
          <a:off x="7400926" y="1901032"/>
          <a:ext cx="5141118" cy="4083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46035</xdr:colOff>
      <xdr:row>31</xdr:row>
      <xdr:rowOff>167482</xdr:rowOff>
    </xdr:from>
    <xdr:to>
      <xdr:col>18</xdr:col>
      <xdr:colOff>173831</xdr:colOff>
      <xdr:row>51</xdr:row>
      <xdr:rowOff>105223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60139" r="-581" b="-1096"/>
        <a:stretch>
          <a:fillRect/>
        </a:stretch>
      </xdr:blipFill>
      <xdr:spPr bwMode="auto">
        <a:xfrm>
          <a:off x="7513635" y="6225382"/>
          <a:ext cx="5004596" cy="319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7407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932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307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507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732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690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168648</xdr:colOff>
      <xdr:row>0</xdr:row>
      <xdr:rowOff>77321</xdr:rowOff>
    </xdr:from>
    <xdr:to>
      <xdr:col>0</xdr:col>
      <xdr:colOff>742950</xdr:colOff>
      <xdr:row>0</xdr:row>
      <xdr:rowOff>1059796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48" y="77321"/>
          <a:ext cx="574302" cy="98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865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168648</xdr:colOff>
      <xdr:row>0</xdr:row>
      <xdr:rowOff>77321</xdr:rowOff>
    </xdr:from>
    <xdr:to>
      <xdr:col>0</xdr:col>
      <xdr:colOff>742950</xdr:colOff>
      <xdr:row>0</xdr:row>
      <xdr:rowOff>1059796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48" y="77321"/>
          <a:ext cx="574302" cy="98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640" y="116711"/>
          <a:ext cx="1209718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400557</xdr:colOff>
      <xdr:row>0</xdr:row>
      <xdr:rowOff>89817</xdr:rowOff>
    </xdr:from>
    <xdr:to>
      <xdr:col>16</xdr:col>
      <xdr:colOff>400040</xdr:colOff>
      <xdr:row>0</xdr:row>
      <xdr:rowOff>770293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832" y="898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338978</xdr:colOff>
      <xdr:row>0</xdr:row>
      <xdr:rowOff>80123</xdr:rowOff>
    </xdr:from>
    <xdr:to>
      <xdr:col>1</xdr:col>
      <xdr:colOff>92490</xdr:colOff>
      <xdr:row>0</xdr:row>
      <xdr:rowOff>821097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978" y="80123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690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210904</xdr:colOff>
      <xdr:row>0</xdr:row>
      <xdr:rowOff>94513</xdr:rowOff>
    </xdr:from>
    <xdr:to>
      <xdr:col>12</xdr:col>
      <xdr:colOff>846505</xdr:colOff>
      <xdr:row>0</xdr:row>
      <xdr:rowOff>813579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254" y="94513"/>
          <a:ext cx="2035776" cy="719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381341</xdr:colOff>
      <xdr:row>0</xdr:row>
      <xdr:rowOff>84878</xdr:rowOff>
    </xdr:from>
    <xdr:to>
      <xdr:col>0</xdr:col>
      <xdr:colOff>1070477</xdr:colOff>
      <xdr:row>0</xdr:row>
      <xdr:rowOff>825852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41" y="84878"/>
          <a:ext cx="689136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665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240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4065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2665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331640</xdr:colOff>
      <xdr:row>0</xdr:row>
      <xdr:rowOff>116711</xdr:rowOff>
    </xdr:from>
    <xdr:to>
      <xdr:col>13</xdr:col>
      <xdr:colOff>331123</xdr:colOff>
      <xdr:row>0</xdr:row>
      <xdr:rowOff>749562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6415" y="116711"/>
          <a:ext cx="1218683" cy="632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134471</xdr:rowOff>
    </xdr:from>
    <xdr:to>
      <xdr:col>0</xdr:col>
      <xdr:colOff>969910</xdr:colOff>
      <xdr:row>0</xdr:row>
      <xdr:rowOff>808770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34471"/>
          <a:ext cx="734587" cy="67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215660</xdr:colOff>
      <xdr:row>0</xdr:row>
      <xdr:rowOff>103823</xdr:rowOff>
    </xdr:from>
    <xdr:to>
      <xdr:col>9</xdr:col>
      <xdr:colOff>332244</xdr:colOff>
      <xdr:row>0</xdr:row>
      <xdr:rowOff>860499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8395" y="103823"/>
          <a:ext cx="2144849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277864</xdr:colOff>
      <xdr:row>0</xdr:row>
      <xdr:rowOff>123782</xdr:rowOff>
    </xdr:from>
    <xdr:to>
      <xdr:col>0</xdr:col>
      <xdr:colOff>966660</xdr:colOff>
      <xdr:row>0</xdr:row>
      <xdr:rowOff>864756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64" y="123782"/>
          <a:ext cx="688796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464431</xdr:colOff>
      <xdr:row>0</xdr:row>
      <xdr:rowOff>167136</xdr:rowOff>
    </xdr:from>
    <xdr:to>
      <xdr:col>9</xdr:col>
      <xdr:colOff>463913</xdr:colOff>
      <xdr:row>0</xdr:row>
      <xdr:rowOff>923812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1631" y="167136"/>
          <a:ext cx="1218682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178132</xdr:colOff>
      <xdr:row>0</xdr:row>
      <xdr:rowOff>173089</xdr:rowOff>
    </xdr:from>
    <xdr:to>
      <xdr:col>1</xdr:col>
      <xdr:colOff>41463</xdr:colOff>
      <xdr:row>0</xdr:row>
      <xdr:rowOff>914063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32" y="173089"/>
          <a:ext cx="472931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454906</xdr:colOff>
      <xdr:row>0</xdr:row>
      <xdr:rowOff>71886</xdr:rowOff>
    </xdr:from>
    <xdr:to>
      <xdr:col>9</xdr:col>
      <xdr:colOff>454388</xdr:colOff>
      <xdr:row>0</xdr:row>
      <xdr:rowOff>828562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6141" y="71886"/>
          <a:ext cx="1512276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206707</xdr:colOff>
      <xdr:row>0</xdr:row>
      <xdr:rowOff>77839</xdr:rowOff>
    </xdr:from>
    <xdr:to>
      <xdr:col>1</xdr:col>
      <xdr:colOff>70038</xdr:colOff>
      <xdr:row>0</xdr:row>
      <xdr:rowOff>818813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07" y="77839"/>
          <a:ext cx="804625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544554</xdr:colOff>
      <xdr:row>0</xdr:row>
      <xdr:rowOff>139121</xdr:rowOff>
    </xdr:from>
    <xdr:to>
      <xdr:col>10</xdr:col>
      <xdr:colOff>544037</xdr:colOff>
      <xdr:row>0</xdr:row>
      <xdr:rowOff>819597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936" y="139121"/>
          <a:ext cx="1209719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229118</xdr:colOff>
      <xdr:row>0</xdr:row>
      <xdr:rowOff>77840</xdr:rowOff>
    </xdr:from>
    <xdr:to>
      <xdr:col>0</xdr:col>
      <xdr:colOff>963705</xdr:colOff>
      <xdr:row>0</xdr:row>
      <xdr:rowOff>818814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18" y="77840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111" y="127917"/>
          <a:ext cx="1209719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6964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2257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410082</xdr:colOff>
      <xdr:row>0</xdr:row>
      <xdr:rowOff>127917</xdr:rowOff>
    </xdr:from>
    <xdr:to>
      <xdr:col>10</xdr:col>
      <xdr:colOff>409565</xdr:colOff>
      <xdr:row>0</xdr:row>
      <xdr:rowOff>808393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907" y="127917"/>
          <a:ext cx="1218683" cy="680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184295</xdr:colOff>
      <xdr:row>0</xdr:row>
      <xdr:rowOff>66633</xdr:rowOff>
    </xdr:from>
    <xdr:to>
      <xdr:col>0</xdr:col>
      <xdr:colOff>6723</xdr:colOff>
      <xdr:row>0</xdr:row>
      <xdr:rowOff>807607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5" y="66633"/>
          <a:ext cx="0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89648</xdr:rowOff>
    </xdr:from>
    <xdr:to>
      <xdr:col>0</xdr:col>
      <xdr:colOff>835440</xdr:colOff>
      <xdr:row>0</xdr:row>
      <xdr:rowOff>830622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89648"/>
          <a:ext cx="734587" cy="740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1/Desktop/PREFEITURA%20DE%20PLACAS/OR&#199;_PREFEITURA_PLACAS_%20REV7_BRUN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/PM_SANTA%20IZABEL/001_RECURSO%20PR&#211;PRIO/21_REFORMA%20DA%20SECRETARIA%20MUNICIPAL%20DE%20EDUCA&#199;&#195;O/3_%20OR&#199;AMENTO/OR&#199;_REV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/PM_PEIXE_BOI/2021/0-%20CONVENIOS%20DO%20ESTADO/SEDOP/02%20-%20REVITALIZA&#199;&#195;O%20DA%20ORLA/1_%20REQUALIFICA&#199;&#195;O%20DA%20ORLA%20DO%20RIO%20PEIXE-BOI-1.491.740,00%20-%20SICONV%20-%20MT/02-%20OR&#199;AMENTO/REV%201/OR&#199;AMENTO%20F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CONVENIOS\PM_PLACAS\2021\00_%20CONVENIOS%20ESTADO\SEPLAD\CRAS%20E%20CENTRO%20DE%20CONVIV&#202;NCIA%20-%20SEDE%20DO%20MUNICIPIO\TEXTOS\Or&#231;_%20CRAS%20e%20Centro%20de%20Conviv&#234;ncia\centro%20de%20convivencia%20-%20PLACAS%20-%20RE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CONVENIOS\PM_PLACAS\2021\00_%20CONVENIOS%20ESTADO\SEPLAD\CRAS%20E%20CENTRO%20DE%20CONVIV&#202;NCIA%20-%20SEDE%20DO%20MUNICIPIO\OR&#199;AMENTO\CRAS%20e%20Centro%20de%20Conviv&#234;ncia\OR&#199;_CRAS_E_CENTRO_DE_CONVIV&#202;NCIA_PLACAS_%20Fev.21_%20Rev.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pm_uruar&#225;\2019\32_CONSTRU&#199;&#195;O%20P&#199;A%20NOSSA%20TERRA_M.TURISMO\00-%20LICITA&#199;&#195;O\01-%20EDITAL\01-%20ARQUIVOS%20EDITAVEIS\02-%20PLANILHA\PLANILHA%20M&#218;LTIPLA%20V3.0_rev0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F"/>
      <sheetName val="BDI"/>
      <sheetName val="ENC.SOC."/>
      <sheetName val="ADM. LOC. 1"/>
      <sheetName val="SER.PREL.2"/>
      <sheetName val="MOV. TER.3"/>
      <sheetName val="EST.4"/>
      <sheetName val="COB. 5"/>
      <sheetName val="PAV. 6"/>
      <sheetName val="PAR. 7"/>
      <sheetName val="REV. DE PAR. 8"/>
      <sheetName val="ESQ. 9"/>
      <sheetName val="PINT. 10"/>
      <sheetName val="ELE. 11"/>
      <sheetName val="INS. LÓG. 12"/>
      <sheetName val="INS. AR. 13"/>
      <sheetName val="COMPOSIÇÕES"/>
      <sheetName val="ORÇ"/>
      <sheetName val="INS. HID. 14"/>
      <sheetName val="INC. 14"/>
      <sheetName val="LOUÇ. ACESS. E META. 16"/>
      <sheetName val="MURO 17"/>
      <sheetName val="SERV. DIV. 18"/>
      <sheetName val="CAS.BOMB.CIST.19"/>
      <sheetName val="FAC. 20"/>
      <sheetName val="SERV. FINAIS 21"/>
      <sheetName val="Planilh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1">
          <cell r="K11">
            <v>1.25</v>
          </cell>
        </row>
        <row r="431">
          <cell r="I431">
            <v>125150.94999999998</v>
          </cell>
        </row>
        <row r="540">
          <cell r="I540">
            <v>5865229.0200000005</v>
          </cell>
        </row>
      </sheetData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ÃO PROJETO"/>
      <sheetName val="COMPOSIÇÕES"/>
      <sheetName val="COTAÇÃO"/>
      <sheetName val="BDI"/>
      <sheetName val="ENC.SOC."/>
      <sheetName val="CFF"/>
      <sheetName val="ORÇ"/>
      <sheetName val="ADM.LOC. 0.0"/>
      <sheetName val="SER.PREL.1.0"/>
      <sheetName val="DEM. 2.0"/>
      <sheetName val="PAR. 3.0"/>
      <sheetName val="REV. 4.0"/>
      <sheetName val="PINTURA 5.0 "/>
      <sheetName val="COBERT. 6.0"/>
      <sheetName val="ESQ. 7.0"/>
      <sheetName val="PISO 8.0"/>
      <sheetName val="ELE. 9.0"/>
      <sheetName val="INS. HID. 10.0"/>
      <sheetName val="INC. 11.0"/>
      <sheetName val="SERV. COMP. 12.0"/>
      <sheetName val="REF. EST. 13.0"/>
      <sheetName val="SERV. FINAIS 14.0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A13">
            <v>0</v>
          </cell>
        </row>
        <row r="14">
          <cell r="A14" t="str">
            <v>0.1</v>
          </cell>
          <cell r="D14" t="str">
            <v>ADMINISTRAÇÃO DA OBRA COM ENGENHEIRO CIVIL JUNIOR E ENCARREGADO GERAL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BDI"/>
      <sheetName val="CFF"/>
      <sheetName val="MAPA DE COTAÇÃO"/>
      <sheetName val="COMPOSIÇÕES"/>
      <sheetName val="ADM.LOC.0"/>
      <sheetName val="SER.PREL.1"/>
      <sheetName val="DEMOLIÇÃO E REMOÇÃO. 2"/>
      <sheetName val="PAV. 3"/>
      <sheetName val="URB. 4"/>
      <sheetName val="CARAM. 5"/>
      <sheetName val="MESAS DE CONC. 6"/>
      <sheetName val="BAR. E BANH. 7"/>
      <sheetName val="ESCADAS.8"/>
      <sheetName val="PÓRTICO.9"/>
      <sheetName val="PLAY. 10"/>
      <sheetName val="MONUM.11"/>
      <sheetName val="ELÉTRICO. 12"/>
      <sheetName val="DREN. 13"/>
      <sheetName val="SERV. DIV. 14"/>
    </sheetNames>
    <sheetDataSet>
      <sheetData sheetId="0">
        <row r="12">
          <cell r="D12" t="str">
            <v>ADMINISTRAÇÃO LOCAL (ENGENHEIRO CIVIL E ENCARREGADO DE OBRAS)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"/>
      <sheetName val="COMPOSIÇÕES"/>
      <sheetName val="BDI"/>
      <sheetName val="QCI"/>
      <sheetName val="CFF"/>
      <sheetName val="ENC.SOC."/>
      <sheetName val="ADM.LOCAL.1.0"/>
      <sheetName val="SER.PREL.2.0"/>
      <sheetName val="MOV. TER.3.0"/>
      <sheetName val="INFR. FUND.4.0."/>
      <sheetName val=" SUP.5.0"/>
      <sheetName val="PAV. 6.0"/>
      <sheetName val="PAR. 7.0"/>
      <sheetName val="REV.8.0"/>
      <sheetName val="ESQ.9.0."/>
      <sheetName val="COB.10.0"/>
      <sheetName val="INS.HID.11.0"/>
      <sheetName val="INST.SAN.12.0"/>
      <sheetName val="ACESSÓRIOS.13.0"/>
      <sheetName val="INST. ELE. 14.0"/>
      <sheetName val="PINT.15.0"/>
      <sheetName val="INC.16.0"/>
      <sheetName val="MURO.17.0"/>
      <sheetName val="SERV. FINAIS 18.0"/>
    </sheetNames>
    <sheetDataSet>
      <sheetData sheetId="0" refreshError="1">
        <row r="104">
          <cell r="C104" t="str">
            <v>INSTALAÇÕES HIDRÁULICAS</v>
          </cell>
        </row>
        <row r="201">
          <cell r="C201" t="str">
            <v>PREVENÇÃO E COMBATE A INCÊNDIO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I"/>
      <sheetName val="BDI"/>
      <sheetName val="ENC.SOC."/>
      <sheetName val="COMPOSIÇÕES"/>
      <sheetName val="CFF"/>
      <sheetName val="SER.PREL.1.0"/>
      <sheetName val="MOV. TER.2.0"/>
      <sheetName val="INFR. FUND.3.0"/>
      <sheetName val=" SUP.4.0"/>
      <sheetName val="PAR. 5.0"/>
      <sheetName val="ESQ. 6.0"/>
      <sheetName val="COB. 7.0"/>
      <sheetName val="IMPERM. 8.0"/>
      <sheetName val="REV. DE PAR. 9.0 "/>
      <sheetName val="PAV. 10.0"/>
      <sheetName val="PINT. 11.0"/>
      <sheetName val="ORÇ"/>
      <sheetName val="INS. HID. 14.0"/>
      <sheetName val="AP. 15.0"/>
      <sheetName val="INC. 17.0"/>
      <sheetName val="ACESS. 18.0"/>
      <sheetName val="SERV. DIV. 19.0"/>
      <sheetName val="SERV. FINAIS 20.0"/>
    </sheetNames>
    <sheetDataSet>
      <sheetData sheetId="0"/>
      <sheetData sheetId="1"/>
      <sheetData sheetId="2"/>
      <sheetData sheetId="3">
        <row r="14">
          <cell r="L14">
            <v>292.07490000000001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27">
          <cell r="C427" t="str">
            <v>EXTINTOR INCENDIO TP PO QUIMICO 4KG FORNECIMENTO E COLOCACAO</v>
          </cell>
        </row>
        <row r="429">
          <cell r="C429" t="str">
            <v xml:space="preserve">PLACA DE SINALIZACAO DE SEGURANCA CONTRA INCENDIO, FOTOLUMINESCENTE, RETANGULAR, *20 X 40* CM, EM PVC *2* MM ANTI-CHAMAS (SIMBOLOS, CORES E PICTOGRAMAS CONFORME NBR 13434) </v>
          </cell>
        </row>
        <row r="436">
          <cell r="C436" t="str">
            <v>Louças, Acessórios e Metais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/>
      <sheetData sheetId="1"/>
      <sheetData sheetId="2"/>
      <sheetData sheetId="3"/>
      <sheetData sheetId="4"/>
      <sheetData sheetId="5">
        <row r="205">
          <cell r="F205" t="str">
            <v>INFRAESTRUTURA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3"/>
  <sheetViews>
    <sheetView tabSelected="1" view="pageBreakPreview" topLeftCell="C1" zoomScale="40" zoomScaleNormal="80" zoomScaleSheetLayoutView="40" workbookViewId="0">
      <selection activeCell="K42" sqref="K42:L42"/>
    </sheetView>
  </sheetViews>
  <sheetFormatPr defaultRowHeight="23.25" x14ac:dyDescent="0.35"/>
  <cols>
    <col min="1" max="1" width="9.42578125" bestFit="1" customWidth="1"/>
    <col min="2" max="2" width="84.5703125" customWidth="1"/>
    <col min="3" max="3" width="20.7109375" customWidth="1"/>
    <col min="4" max="5" width="22.7109375" bestFit="1" customWidth="1"/>
    <col min="6" max="26" width="20.7109375" customWidth="1"/>
    <col min="27" max="27" width="31.5703125" bestFit="1" customWidth="1"/>
    <col min="28" max="28" width="34.7109375" style="1092" customWidth="1"/>
    <col min="29" max="29" width="9.140625" bestFit="1" customWidth="1"/>
    <col min="30" max="30" width="12.7109375" bestFit="1" customWidth="1"/>
  </cols>
  <sheetData>
    <row r="1" spans="1:30" ht="19.5" customHeight="1" x14ac:dyDescent="0.35">
      <c r="A1" s="337" t="str">
        <f>ORÇ!I2</f>
        <v>PLACAS / PA</v>
      </c>
      <c r="B1" s="338"/>
      <c r="C1" s="1613" t="s">
        <v>51</v>
      </c>
      <c r="D1" s="1614"/>
      <c r="E1" s="1614"/>
      <c r="F1" s="1614"/>
      <c r="G1" s="1614"/>
      <c r="H1" s="1614"/>
      <c r="I1" s="1614"/>
      <c r="J1" s="1614"/>
      <c r="K1" s="1614"/>
      <c r="L1" s="1614"/>
      <c r="M1" s="1614"/>
      <c r="N1" s="1614"/>
      <c r="O1" s="1614"/>
      <c r="P1" s="1614"/>
      <c r="Q1" s="1614"/>
      <c r="R1" s="1614"/>
      <c r="S1" s="1614"/>
      <c r="T1" s="1614"/>
      <c r="U1" s="1614"/>
      <c r="V1" s="1614"/>
      <c r="W1" s="1614"/>
      <c r="X1" s="1614"/>
      <c r="Y1" s="1614"/>
      <c r="Z1" s="1614"/>
      <c r="AA1" s="220"/>
    </row>
    <row r="2" spans="1:30" ht="36.75" customHeight="1" thickBot="1" x14ac:dyDescent="0.4">
      <c r="A2" s="1611" t="str">
        <f>ORÇ!B3</f>
        <v>CONSTRUÇÃO DO COMPLEXO ADMINISTRATIVO DO MUNICIPIO DE PLACAS</v>
      </c>
      <c r="B2" s="1612"/>
      <c r="C2" s="1615"/>
      <c r="D2" s="1616"/>
      <c r="E2" s="1616"/>
      <c r="F2" s="1616"/>
      <c r="G2" s="1616"/>
      <c r="H2" s="1616"/>
      <c r="I2" s="1616"/>
      <c r="J2" s="1616"/>
      <c r="K2" s="1616"/>
      <c r="L2" s="1616"/>
      <c r="M2" s="1616"/>
      <c r="N2" s="1616"/>
      <c r="O2" s="1616"/>
      <c r="P2" s="1616"/>
      <c r="Q2" s="1616"/>
      <c r="R2" s="1616"/>
      <c r="S2" s="1616"/>
      <c r="T2" s="1616"/>
      <c r="U2" s="1616"/>
      <c r="V2" s="1616"/>
      <c r="W2" s="1616"/>
      <c r="X2" s="1616"/>
      <c r="Y2" s="1616"/>
      <c r="Z2" s="1616"/>
      <c r="AA2" s="221"/>
    </row>
    <row r="3" spans="1:30" ht="19.5" customHeight="1" thickBot="1" x14ac:dyDescent="0.4">
      <c r="A3" s="335" t="s">
        <v>132</v>
      </c>
      <c r="B3" s="336" t="str">
        <f>ORÇ!B4</f>
        <v>RUA OLAVO BILAC N° 408, BAIRRO CENTRO – PLACAS/PARÁ</v>
      </c>
      <c r="C3" s="1617"/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618"/>
      <c r="R3" s="1618"/>
      <c r="S3" s="1618"/>
      <c r="T3" s="1618"/>
      <c r="U3" s="1618"/>
      <c r="V3" s="1618"/>
      <c r="W3" s="1618"/>
      <c r="X3" s="1618"/>
      <c r="Y3" s="1618"/>
      <c r="Z3" s="1618"/>
      <c r="AA3" s="221"/>
    </row>
    <row r="4" spans="1:30" ht="24" thickBot="1" x14ac:dyDescent="0.4">
      <c r="A4" s="1620" t="s">
        <v>52</v>
      </c>
      <c r="B4" s="1622" t="s">
        <v>53</v>
      </c>
      <c r="C4" s="1604" t="s">
        <v>54</v>
      </c>
      <c r="D4" s="1604"/>
      <c r="E4" s="1604" t="s">
        <v>55</v>
      </c>
      <c r="F4" s="1604"/>
      <c r="G4" s="1604" t="s">
        <v>56</v>
      </c>
      <c r="H4" s="1604"/>
      <c r="I4" s="1604" t="s">
        <v>57</v>
      </c>
      <c r="J4" s="1604"/>
      <c r="K4" s="1604" t="s">
        <v>58</v>
      </c>
      <c r="L4" s="1604"/>
      <c r="M4" s="1604" t="s">
        <v>59</v>
      </c>
      <c r="N4" s="1604"/>
      <c r="O4" s="1604" t="s">
        <v>435</v>
      </c>
      <c r="P4" s="1604"/>
      <c r="Q4" s="1604" t="s">
        <v>436</v>
      </c>
      <c r="R4" s="1604"/>
      <c r="S4" s="1604" t="s">
        <v>437</v>
      </c>
      <c r="T4" s="1604"/>
      <c r="U4" s="1604" t="s">
        <v>438</v>
      </c>
      <c r="V4" s="1604"/>
      <c r="W4" s="1604" t="s">
        <v>439</v>
      </c>
      <c r="X4" s="1604"/>
      <c r="Y4" s="1604" t="s">
        <v>440</v>
      </c>
      <c r="Z4" s="1604"/>
      <c r="AA4" s="1619" t="s">
        <v>60</v>
      </c>
    </row>
    <row r="5" spans="1:30" ht="24" thickBot="1" x14ac:dyDescent="0.4">
      <c r="A5" s="1621"/>
      <c r="B5" s="1623"/>
      <c r="C5" s="222" t="s">
        <v>61</v>
      </c>
      <c r="D5" s="222" t="s">
        <v>61</v>
      </c>
      <c r="E5" s="222" t="s">
        <v>61</v>
      </c>
      <c r="F5" s="222" t="s">
        <v>61</v>
      </c>
      <c r="G5" s="222" t="s">
        <v>61</v>
      </c>
      <c r="H5" s="222" t="s">
        <v>61</v>
      </c>
      <c r="I5" s="222" t="s">
        <v>61</v>
      </c>
      <c r="J5" s="222" t="s">
        <v>61</v>
      </c>
      <c r="K5" s="222" t="s">
        <v>61</v>
      </c>
      <c r="L5" s="222" t="s">
        <v>61</v>
      </c>
      <c r="M5" s="222" t="s">
        <v>61</v>
      </c>
      <c r="N5" s="222" t="s">
        <v>61</v>
      </c>
      <c r="O5" s="222" t="s">
        <v>61</v>
      </c>
      <c r="P5" s="222" t="s">
        <v>61</v>
      </c>
      <c r="Q5" s="222" t="s">
        <v>61</v>
      </c>
      <c r="R5" s="222" t="s">
        <v>61</v>
      </c>
      <c r="S5" s="222" t="s">
        <v>61</v>
      </c>
      <c r="T5" s="222" t="s">
        <v>61</v>
      </c>
      <c r="U5" s="222" t="s">
        <v>61</v>
      </c>
      <c r="V5" s="222" t="s">
        <v>61</v>
      </c>
      <c r="W5" s="222" t="s">
        <v>61</v>
      </c>
      <c r="X5" s="222" t="s">
        <v>61</v>
      </c>
      <c r="Y5" s="222" t="s">
        <v>61</v>
      </c>
      <c r="Z5" s="222" t="s">
        <v>61</v>
      </c>
      <c r="AA5" s="1619"/>
    </row>
    <row r="6" spans="1:30" x14ac:dyDescent="0.35">
      <c r="A6" s="1587">
        <f>ORÇ!A13</f>
        <v>1</v>
      </c>
      <c r="B6" s="1597" t="str">
        <f>ORÇ!D13</f>
        <v>Administração da obra</v>
      </c>
      <c r="C6" s="1598">
        <f>(C11+C14+C17+D17+C20+C23+C26+C29+C32+C35+C38+C41+C44+C47+C50+C53+C56+C59+C62+C65+C68)/SUM($AA$9:$AA$68)</f>
        <v>8.3027400172126675E-2</v>
      </c>
      <c r="D6" s="1598"/>
      <c r="E6" s="1595">
        <f>(E11+E14+F14+E17+F17+E20+E23+E26+E29+E32+E35+E38+E41+E44+E47+E50+E53+E56+E59+E62+E65+E68)/SUM($AA$9:$AA$68)</f>
        <v>8.6812201870488923E-2</v>
      </c>
      <c r="F6" s="1596"/>
      <c r="G6" s="1595">
        <f>(G11+G14+G17+H17+G20+H23+H29+G23+G26+G29+G32+G35+G38+G41+G44+G47+G50+G53+G56+G59+G62+G65+G68)/SUM($AA$9:$AA$68)</f>
        <v>9.2299660449748855E-2</v>
      </c>
      <c r="H6" s="1596"/>
      <c r="I6" s="1595">
        <f>(I11+I14+I17+J17+I20+I23+I26+I29+I32+I35+I38+I41+I44+I47+I50+I53+J23+J29+J20+I56+I59+I62+I65+I68)/SUM($AA$9:$AA$68)</f>
        <v>9.2986034136330761E-2</v>
      </c>
      <c r="J6" s="1596"/>
      <c r="K6" s="1595">
        <f>(K11+K14+K17+L17+K20+K23+K26+K29+K32+K35+K38+K41+K44+K47+K50+K53+L23+L29+L26+L32++L38+L41+L20+K56+K59+K62+K65+K68)/SUM($AA$9:$AA$68)</f>
        <v>9.3826156121109158E-2</v>
      </c>
      <c r="L6" s="1596"/>
      <c r="M6" s="1595">
        <f>(M11+M14+M17+N17+M20+M23+M26+N47+M29+M32+M35+M38+M41+M44+M47+M50+M53+N23+N29+N20+M56+M59+M62+M65+M68)/SUM($AA$9:$AA$68)</f>
        <v>9.1796984568263504E-2</v>
      </c>
      <c r="N6" s="1596"/>
      <c r="O6" s="1595">
        <f>(O11+O14+O17+P17+O20+O23+O26+O29+O32+O35+O38+O41+O44+O47+O50+O53+P23+P29+P20+O56+O59+O62+O65+O68)/SUM($AA$9:$AA$68)</f>
        <v>8.1237976327239517E-2</v>
      </c>
      <c r="P6" s="1596"/>
      <c r="Q6" s="1595">
        <f>(Q11+Q14+Q17+R17+Q20+Q23+Q26+Q29+Q32+Q35+Q38+Q41+Q44+Q47+Q50+Q53+R23+R29+R20+Q56+Q59+Q62+Q65+Q68)/SUM($AA$9:$AA$68)</f>
        <v>7.7170967427752923E-2</v>
      </c>
      <c r="R6" s="1596"/>
      <c r="S6" s="1595">
        <f>(S11+S14+S17+T17+S20+S23+S26+S29+S32+S35+S38+S41+S44+S47+S50+S53+T23+T29+T20+S56+S59+S62+S65+S68)/SUM($AA$9:$AA$68)</f>
        <v>6.9502473043872595E-2</v>
      </c>
      <c r="T6" s="1596"/>
      <c r="U6" s="1595">
        <f>(U11+U14+U17+V17+U20+U23+U26+U29+U32+U35+U38+U41+U44+U47+U50+U53+V23+V29+V20+U56+U59+U62+U65+U68)/SUM($AA$9:$AA$68)</f>
        <v>7.7925026062687711E-2</v>
      </c>
      <c r="V6" s="1596"/>
      <c r="W6" s="1595">
        <f t="shared" ref="W6" si="0">(W11+W14+W17+X17+W20+W23+W26+W29+W32+W35+W38+W41+W44+W47+W50+W53+X23+X29+X20+W56+W59+W62+W65+W68)/SUM($AA$9:$AA$68)</f>
        <v>7.9386409280987003E-2</v>
      </c>
      <c r="X6" s="1596"/>
      <c r="Y6" s="1595">
        <f t="shared" ref="Y6" si="1">(Y11+Y14+Y17+Z17+Y20+Y23+Y26+Y29+Y32+Y35+Y38+Y41+Y44+Y47+Y50+Y53+Z23+Z29+Z20+Y56+Y59+Y62+Y65+Y68)/SUM($AA$9:$AA$68)</f>
        <v>7.4028710539392292E-2</v>
      </c>
      <c r="Z6" s="1596"/>
      <c r="AA6" s="1592">
        <f>ORÇ!I15</f>
        <v>69410.69</v>
      </c>
      <c r="AB6" s="1114">
        <f>SUM(C6:Z6)</f>
        <v>0.99999999999999989</v>
      </c>
    </row>
    <row r="7" spans="1:30" x14ac:dyDescent="0.35">
      <c r="A7" s="1587"/>
      <c r="B7" s="1597"/>
      <c r="C7" s="1553"/>
      <c r="D7" s="1554"/>
      <c r="E7" s="1553"/>
      <c r="F7" s="1554"/>
      <c r="G7" s="1553"/>
      <c r="H7" s="1554"/>
      <c r="I7" s="1553"/>
      <c r="J7" s="1554"/>
      <c r="K7" s="1553"/>
      <c r="L7" s="1554"/>
      <c r="M7" s="1553"/>
      <c r="N7" s="1554"/>
      <c r="O7" s="1553"/>
      <c r="P7" s="1554"/>
      <c r="Q7" s="1553"/>
      <c r="R7" s="1554"/>
      <c r="S7" s="1553"/>
      <c r="T7" s="1554"/>
      <c r="U7" s="1553"/>
      <c r="V7" s="1554"/>
      <c r="W7" s="1553"/>
      <c r="X7" s="1554"/>
      <c r="Y7" s="1553"/>
      <c r="Z7" s="1554"/>
      <c r="AA7" s="1592"/>
    </row>
    <row r="8" spans="1:30" x14ac:dyDescent="0.35">
      <c r="A8" s="1587"/>
      <c r="B8" s="1597"/>
      <c r="C8" s="1569">
        <f t="shared" ref="C8" si="2">$AA$6*C6</f>
        <v>5762.9891348534311</v>
      </c>
      <c r="D8" s="1569"/>
      <c r="E8" s="1569">
        <f t="shared" ref="E8" si="3">$AA$6*E6</f>
        <v>6025.6948322499265</v>
      </c>
      <c r="F8" s="1569"/>
      <c r="G8" s="1569">
        <f t="shared" ref="G8" si="4">$AA$6*G6</f>
        <v>6406.5831185827783</v>
      </c>
      <c r="H8" s="1569"/>
      <c r="I8" s="1569">
        <f t="shared" ref="I8" si="5">$AA$6*I6</f>
        <v>6454.2247897662728</v>
      </c>
      <c r="J8" s="1569"/>
      <c r="K8" s="1569">
        <f t="shared" ref="K8" si="6">$AA$6*K6</f>
        <v>6512.5382364139105</v>
      </c>
      <c r="L8" s="1569"/>
      <c r="M8" s="1569">
        <f t="shared" ref="M8" si="7">$AA$6*M6</f>
        <v>6371.6920388025219</v>
      </c>
      <c r="N8" s="1569"/>
      <c r="O8" s="1569">
        <f t="shared" ref="O8" si="8">$AA$6*O6</f>
        <v>5638.783991077361</v>
      </c>
      <c r="P8" s="1569"/>
      <c r="Q8" s="1569">
        <f t="shared" ref="Q8" si="9">$AA$6*Q6</f>
        <v>5356.4900971278557</v>
      </c>
      <c r="R8" s="1569"/>
      <c r="S8" s="1569">
        <f t="shared" ref="S8" si="10">$AA$6*S6</f>
        <v>4824.2146106815972</v>
      </c>
      <c r="T8" s="1569"/>
      <c r="U8" s="1569">
        <f t="shared" ref="U8" si="11">$AA$6*U6</f>
        <v>5408.8298272791371</v>
      </c>
      <c r="V8" s="1569"/>
      <c r="W8" s="1569">
        <f>$AA$6*W6</f>
        <v>5510.2654448157118</v>
      </c>
      <c r="X8" s="1569"/>
      <c r="Y8" s="1569">
        <f>$AA$6*Y6</f>
        <v>5138.3838783494912</v>
      </c>
      <c r="Z8" s="1569"/>
      <c r="AA8" s="1592"/>
      <c r="AB8" s="1096">
        <f>SUM(C8:Z8)</f>
        <v>69410.69</v>
      </c>
    </row>
    <row r="9" spans="1:30" x14ac:dyDescent="0.35">
      <c r="A9" s="1587">
        <f>ORÇ!A17</f>
        <v>2</v>
      </c>
      <c r="B9" s="1597" t="str">
        <f>ORÇ!D17</f>
        <v xml:space="preserve">Serviços Preliminares </v>
      </c>
      <c r="C9" s="1568">
        <v>1</v>
      </c>
      <c r="D9" s="1568"/>
      <c r="E9" s="1568"/>
      <c r="F9" s="1568"/>
      <c r="G9" s="223"/>
      <c r="H9" s="224"/>
      <c r="I9" s="225"/>
      <c r="J9" s="224"/>
      <c r="K9" s="223"/>
      <c r="L9" s="224"/>
      <c r="M9" s="223"/>
      <c r="N9" s="224"/>
      <c r="O9" s="1568"/>
      <c r="P9" s="1568"/>
      <c r="Q9" s="1568"/>
      <c r="R9" s="1568"/>
      <c r="S9" s="223"/>
      <c r="T9" s="224"/>
      <c r="U9" s="225"/>
      <c r="V9" s="225"/>
      <c r="W9" s="223"/>
      <c r="X9" s="224"/>
      <c r="Y9" s="223"/>
      <c r="Z9" s="224"/>
      <c r="AA9" s="1592">
        <f>ORÇ!I22</f>
        <v>12487.42</v>
      </c>
      <c r="AB9" s="1093">
        <f>SUM(C9:Z9)</f>
        <v>1</v>
      </c>
    </row>
    <row r="10" spans="1:30" x14ac:dyDescent="0.35">
      <c r="A10" s="1587"/>
      <c r="B10" s="1597"/>
      <c r="C10" s="1553"/>
      <c r="D10" s="1554"/>
      <c r="E10" s="1590"/>
      <c r="F10" s="1591"/>
      <c r="G10" s="226"/>
      <c r="H10" s="227"/>
      <c r="I10" s="228"/>
      <c r="J10" s="227"/>
      <c r="K10" s="226"/>
      <c r="L10" s="227"/>
      <c r="M10" s="1590"/>
      <c r="N10" s="1591"/>
      <c r="O10" s="1590"/>
      <c r="P10" s="1591"/>
      <c r="Q10" s="1590"/>
      <c r="R10" s="1591"/>
      <c r="S10" s="226"/>
      <c r="T10" s="227"/>
      <c r="U10" s="228"/>
      <c r="V10" s="228"/>
      <c r="W10" s="226"/>
      <c r="X10" s="227"/>
      <c r="Y10" s="226"/>
      <c r="Z10" s="227"/>
      <c r="AA10" s="1592"/>
    </row>
    <row r="11" spans="1:30" x14ac:dyDescent="0.35">
      <c r="A11" s="1587"/>
      <c r="B11" s="1597"/>
      <c r="C11" s="1569">
        <f>$AA$9*C9</f>
        <v>12487.42</v>
      </c>
      <c r="D11" s="1569"/>
      <c r="E11" s="1569"/>
      <c r="F11" s="1569"/>
      <c r="G11" s="1569"/>
      <c r="H11" s="1569"/>
      <c r="I11" s="1090"/>
      <c r="J11" s="1091"/>
      <c r="K11" s="229"/>
      <c r="L11" s="230"/>
      <c r="M11" s="1567"/>
      <c r="N11" s="1567"/>
      <c r="O11" s="1567"/>
      <c r="P11" s="1567"/>
      <c r="Q11" s="1569"/>
      <c r="R11" s="1569"/>
      <c r="S11" s="1569"/>
      <c r="T11" s="1569"/>
      <c r="U11" s="1090"/>
      <c r="V11" s="1091"/>
      <c r="W11" s="229"/>
      <c r="X11" s="230"/>
      <c r="Y11" s="1567"/>
      <c r="Z11" s="1567"/>
      <c r="AA11" s="1592"/>
      <c r="AB11" s="1096">
        <f>SUM(C11:Z11)</f>
        <v>12487.42</v>
      </c>
    </row>
    <row r="12" spans="1:30" x14ac:dyDescent="0.35">
      <c r="A12" s="1587">
        <f>ORÇ!A24</f>
        <v>3</v>
      </c>
      <c r="B12" s="1588" t="str">
        <f>ORÇ!D24</f>
        <v>Movimento de Terra</v>
      </c>
      <c r="C12" s="1563">
        <v>1</v>
      </c>
      <c r="D12" s="1564"/>
      <c r="E12" s="1101"/>
      <c r="F12" s="1559"/>
      <c r="G12" s="1568"/>
      <c r="H12" s="1568"/>
      <c r="I12" s="1594"/>
      <c r="J12" s="1594"/>
      <c r="K12" s="1570"/>
      <c r="L12" s="1570"/>
      <c r="M12" s="1570"/>
      <c r="N12" s="1570"/>
      <c r="O12" s="1594"/>
      <c r="P12" s="1594"/>
      <c r="Q12" s="1563"/>
      <c r="R12" s="1564"/>
      <c r="S12" s="1594"/>
      <c r="T12" s="1594"/>
      <c r="U12" s="1594"/>
      <c r="V12" s="1594"/>
      <c r="W12" s="1570"/>
      <c r="X12" s="1570"/>
      <c r="Y12" s="1570"/>
      <c r="Z12" s="1570"/>
      <c r="AA12" s="1585">
        <f>ORÇ!I29</f>
        <v>53087.57</v>
      </c>
      <c r="AB12" s="1093">
        <f>SUM(C12:Z12)</f>
        <v>1</v>
      </c>
      <c r="AC12" s="219"/>
    </row>
    <row r="13" spans="1:30" x14ac:dyDescent="0.35">
      <c r="A13" s="1587"/>
      <c r="B13" s="1588"/>
      <c r="C13" s="1553"/>
      <c r="D13" s="1554"/>
      <c r="E13" s="226"/>
      <c r="F13" s="1560"/>
      <c r="G13" s="1590"/>
      <c r="H13" s="1591"/>
      <c r="I13" s="228"/>
      <c r="J13" s="228"/>
      <c r="K13" s="232"/>
      <c r="L13" s="231"/>
      <c r="M13" s="232"/>
      <c r="N13" s="231"/>
      <c r="O13" s="1590"/>
      <c r="P13" s="1591"/>
      <c r="Q13" s="1590"/>
      <c r="R13" s="1591"/>
      <c r="S13" s="1590"/>
      <c r="T13" s="1591"/>
      <c r="U13" s="1590"/>
      <c r="V13" s="1591"/>
      <c r="W13" s="232"/>
      <c r="X13" s="231"/>
      <c r="Y13" s="232"/>
      <c r="Z13" s="231"/>
      <c r="AA13" s="1585"/>
      <c r="AB13" s="1094"/>
      <c r="AC13" s="219"/>
    </row>
    <row r="14" spans="1:30" x14ac:dyDescent="0.35">
      <c r="A14" s="1587"/>
      <c r="B14" s="1588"/>
      <c r="C14" s="1567">
        <f>C12*$AA$12</f>
        <v>53087.57</v>
      </c>
      <c r="D14" s="1567"/>
      <c r="E14" s="619"/>
      <c r="F14" s="1102"/>
      <c r="G14" s="1567"/>
      <c r="H14" s="1567"/>
      <c r="I14" s="1567"/>
      <c r="J14" s="1567"/>
      <c r="K14" s="1581"/>
      <c r="L14" s="1581"/>
      <c r="M14" s="1581"/>
      <c r="N14" s="1581"/>
      <c r="O14" s="1567"/>
      <c r="P14" s="1567"/>
      <c r="Q14" s="1567"/>
      <c r="R14" s="1567"/>
      <c r="S14" s="1567"/>
      <c r="T14" s="1567"/>
      <c r="U14" s="1567"/>
      <c r="V14" s="1567"/>
      <c r="W14" s="1581"/>
      <c r="X14" s="1581"/>
      <c r="Y14" s="1581"/>
      <c r="Z14" s="1581"/>
      <c r="AA14" s="1585"/>
      <c r="AB14" s="1096">
        <f>SUM(C14:Z14)</f>
        <v>53087.57</v>
      </c>
      <c r="AD14" s="20"/>
    </row>
    <row r="15" spans="1:30" x14ac:dyDescent="0.35">
      <c r="A15" s="1587">
        <f>ORÇ!A31</f>
        <v>4</v>
      </c>
      <c r="B15" s="1588" t="str">
        <f>ORÇ!D31</f>
        <v>Infra-estrutura e Superestrutura</v>
      </c>
      <c r="C15" s="1563">
        <v>0.3</v>
      </c>
      <c r="D15" s="1564"/>
      <c r="E15" s="1568">
        <v>0.4</v>
      </c>
      <c r="F15" s="1568"/>
      <c r="G15" s="1568">
        <v>0.3</v>
      </c>
      <c r="H15" s="1568"/>
      <c r="I15" s="1559"/>
      <c r="J15" s="1559"/>
      <c r="K15" s="1570"/>
      <c r="L15" s="1570"/>
      <c r="M15" s="233"/>
      <c r="N15" s="234"/>
      <c r="O15" s="226"/>
      <c r="P15" s="227"/>
      <c r="Q15" s="1563"/>
      <c r="R15" s="1564"/>
      <c r="S15" s="1563"/>
      <c r="T15" s="1564"/>
      <c r="U15" s="1594"/>
      <c r="V15" s="1594"/>
      <c r="W15" s="1594"/>
      <c r="X15" s="1594"/>
      <c r="Y15" s="233"/>
      <c r="Z15" s="234"/>
      <c r="AA15" s="1585">
        <f>ORÇ!I48</f>
        <v>794261.3899999999</v>
      </c>
      <c r="AB15" s="1093">
        <f>SUM(C15:Z15)</f>
        <v>1</v>
      </c>
      <c r="AC15" s="219"/>
      <c r="AD15" s="20"/>
    </row>
    <row r="16" spans="1:30" x14ac:dyDescent="0.35">
      <c r="A16" s="1587"/>
      <c r="B16" s="1588"/>
      <c r="C16" s="1553"/>
      <c r="D16" s="1554"/>
      <c r="E16" s="1553"/>
      <c r="F16" s="1554"/>
      <c r="G16" s="1553"/>
      <c r="H16" s="1554"/>
      <c r="I16" s="1560"/>
      <c r="J16" s="1560"/>
      <c r="K16" s="232"/>
      <c r="L16" s="231"/>
      <c r="M16" s="235"/>
      <c r="N16" s="236"/>
      <c r="O16" s="235"/>
      <c r="P16" s="231"/>
      <c r="Q16" s="1590"/>
      <c r="R16" s="1591"/>
      <c r="S16" s="1590"/>
      <c r="T16" s="1591"/>
      <c r="U16" s="1590"/>
      <c r="V16" s="1591"/>
      <c r="W16" s="1590"/>
      <c r="X16" s="1591"/>
      <c r="Y16" s="235"/>
      <c r="Z16" s="236"/>
      <c r="AA16" s="1585"/>
      <c r="AB16" s="1094"/>
      <c r="AC16" s="219"/>
      <c r="AD16" s="20"/>
    </row>
    <row r="17" spans="1:30" x14ac:dyDescent="0.35">
      <c r="A17" s="1587"/>
      <c r="B17" s="1588"/>
      <c r="C17" s="1567">
        <f>C15*$AA$15</f>
        <v>238278.41699999996</v>
      </c>
      <c r="D17" s="1567"/>
      <c r="E17" s="1569">
        <f t="shared" ref="E17:G17" si="12">E15*$AA$15</f>
        <v>317704.55599999998</v>
      </c>
      <c r="F17" s="1569"/>
      <c r="G17" s="1569">
        <f t="shared" si="12"/>
        <v>238278.41699999996</v>
      </c>
      <c r="H17" s="1569"/>
      <c r="I17" s="1102"/>
      <c r="J17" s="1102"/>
      <c r="K17" s="1581"/>
      <c r="L17" s="1581"/>
      <c r="M17" s="1593"/>
      <c r="N17" s="1593"/>
      <c r="O17" s="1567"/>
      <c r="P17" s="1567"/>
      <c r="Q17" s="1567"/>
      <c r="R17" s="1567"/>
      <c r="S17" s="1567"/>
      <c r="T17" s="1567"/>
      <c r="U17" s="1567"/>
      <c r="V17" s="1567"/>
      <c r="W17" s="1567"/>
      <c r="X17" s="1567"/>
      <c r="Y17" s="1593"/>
      <c r="Z17" s="1593"/>
      <c r="AA17" s="1585"/>
      <c r="AB17" s="1096">
        <f>SUM(C17:Z17)</f>
        <v>794261.3899999999</v>
      </c>
      <c r="AC17" s="219"/>
    </row>
    <row r="18" spans="1:30" x14ac:dyDescent="0.35">
      <c r="A18" s="1587">
        <f>ORÇ!A50</f>
        <v>5</v>
      </c>
      <c r="B18" s="1588" t="str">
        <f>ORÇ!D50</f>
        <v>Cobertura</v>
      </c>
      <c r="C18" s="1610"/>
      <c r="D18" s="1610"/>
      <c r="E18" s="1570"/>
      <c r="F18" s="1570"/>
      <c r="G18" s="1570"/>
      <c r="H18" s="1570"/>
      <c r="I18" s="1101"/>
      <c r="J18" s="1100">
        <v>0.25</v>
      </c>
      <c r="K18" s="1568">
        <v>0.25</v>
      </c>
      <c r="L18" s="1568"/>
      <c r="M18" s="1568">
        <v>0.25</v>
      </c>
      <c r="N18" s="1568"/>
      <c r="O18" s="1568">
        <v>0.25</v>
      </c>
      <c r="P18" s="1568"/>
      <c r="Q18" s="1570"/>
      <c r="R18" s="1570"/>
      <c r="S18" s="1570"/>
      <c r="T18" s="1570"/>
      <c r="U18" s="1570"/>
      <c r="V18" s="1570"/>
      <c r="W18" s="1594"/>
      <c r="X18" s="1594"/>
      <c r="Y18" s="1594"/>
      <c r="Z18" s="1594"/>
      <c r="AA18" s="1585">
        <f>ORÇ!I66</f>
        <v>543486.06000000006</v>
      </c>
      <c r="AB18" s="1093">
        <f>SUM(C18:Z18)</f>
        <v>1</v>
      </c>
      <c r="AC18" s="219"/>
    </row>
    <row r="19" spans="1:30" x14ac:dyDescent="0.35">
      <c r="A19" s="1587"/>
      <c r="B19" s="1588"/>
      <c r="C19" s="235"/>
      <c r="D19" s="236"/>
      <c r="E19" s="232"/>
      <c r="F19" s="231"/>
      <c r="G19" s="232"/>
      <c r="H19" s="231"/>
      <c r="I19" s="226"/>
      <c r="J19" s="1552"/>
      <c r="K19" s="1565"/>
      <c r="L19" s="1566"/>
      <c r="M19" s="1565"/>
      <c r="N19" s="1566"/>
      <c r="O19" s="1565"/>
      <c r="P19" s="1566"/>
      <c r="Q19" s="237"/>
      <c r="R19" s="231"/>
      <c r="S19" s="232"/>
      <c r="T19" s="231"/>
      <c r="U19" s="232"/>
      <c r="V19" s="231"/>
      <c r="W19" s="1590"/>
      <c r="X19" s="1591"/>
      <c r="Y19" s="1590"/>
      <c r="Z19" s="1591"/>
      <c r="AA19" s="1585"/>
      <c r="AB19" s="1094"/>
      <c r="AC19" s="219"/>
      <c r="AD19" s="20"/>
    </row>
    <row r="20" spans="1:30" x14ac:dyDescent="0.35">
      <c r="A20" s="1587"/>
      <c r="B20" s="1588"/>
      <c r="C20" s="1593"/>
      <c r="D20" s="1593"/>
      <c r="E20" s="1581"/>
      <c r="F20" s="1581"/>
      <c r="G20" s="1581"/>
      <c r="H20" s="1581"/>
      <c r="I20" s="619"/>
      <c r="J20" s="1103">
        <f>J18*$AA$18</f>
        <v>135871.51500000001</v>
      </c>
      <c r="K20" s="1573">
        <f>K18*$AA$18</f>
        <v>135871.51500000001</v>
      </c>
      <c r="L20" s="1574"/>
      <c r="M20" s="1573">
        <f>M18*$AA$18</f>
        <v>135871.51500000001</v>
      </c>
      <c r="N20" s="1574"/>
      <c r="O20" s="1573">
        <f>O18*$AA$18</f>
        <v>135871.51500000001</v>
      </c>
      <c r="P20" s="1574"/>
      <c r="Q20" s="1581"/>
      <c r="R20" s="1581"/>
      <c r="S20" s="1581"/>
      <c r="T20" s="1581"/>
      <c r="U20" s="1581"/>
      <c r="V20" s="1581"/>
      <c r="W20" s="1567"/>
      <c r="X20" s="1567"/>
      <c r="Y20" s="1567"/>
      <c r="Z20" s="1567"/>
      <c r="AA20" s="1585"/>
      <c r="AB20" s="1096">
        <f>SUM(C20:Z20)</f>
        <v>543486.06000000006</v>
      </c>
      <c r="AC20" s="219"/>
    </row>
    <row r="21" spans="1:30" x14ac:dyDescent="0.35">
      <c r="A21" s="1587">
        <f>ORÇ!A68</f>
        <v>6</v>
      </c>
      <c r="B21" s="1588" t="str">
        <f>ORÇ!D68</f>
        <v>Pavimentação</v>
      </c>
      <c r="C21" s="1610"/>
      <c r="D21" s="1610"/>
      <c r="E21" s="1570"/>
      <c r="F21" s="1570"/>
      <c r="G21" s="1568">
        <v>0.1</v>
      </c>
      <c r="H21" s="1568"/>
      <c r="I21" s="1568">
        <v>0.1</v>
      </c>
      <c r="J21" s="1568"/>
      <c r="K21" s="1568">
        <v>0.2</v>
      </c>
      <c r="L21" s="1568"/>
      <c r="M21" s="1568">
        <v>0.2</v>
      </c>
      <c r="N21" s="1568"/>
      <c r="O21" s="1568">
        <v>0.2</v>
      </c>
      <c r="P21" s="1568"/>
      <c r="Q21" s="1568">
        <v>0.2</v>
      </c>
      <c r="R21" s="1568"/>
      <c r="S21" s="1570"/>
      <c r="T21" s="1570"/>
      <c r="U21" s="1594"/>
      <c r="V21" s="1594"/>
      <c r="W21" s="1594"/>
      <c r="X21" s="1594"/>
      <c r="Y21" s="1594"/>
      <c r="Z21" s="1594"/>
      <c r="AA21" s="1585">
        <f>ORÇ!I82</f>
        <v>395682.21</v>
      </c>
      <c r="AB21" s="1093">
        <f>SUM(C21:Z21)</f>
        <v>1</v>
      </c>
      <c r="AC21" s="219"/>
    </row>
    <row r="22" spans="1:30" x14ac:dyDescent="0.35">
      <c r="A22" s="1587"/>
      <c r="B22" s="1588"/>
      <c r="C22" s="235"/>
      <c r="D22" s="236"/>
      <c r="E22" s="237"/>
      <c r="F22" s="231"/>
      <c r="G22" s="1553"/>
      <c r="H22" s="1554"/>
      <c r="I22" s="1553"/>
      <c r="J22" s="1554"/>
      <c r="K22" s="1553"/>
      <c r="L22" s="1554"/>
      <c r="M22" s="1565"/>
      <c r="N22" s="1566"/>
      <c r="O22" s="1565"/>
      <c r="P22" s="1566"/>
      <c r="Q22" s="1565"/>
      <c r="R22" s="1566"/>
      <c r="S22" s="232"/>
      <c r="T22" s="231"/>
      <c r="U22" s="1590"/>
      <c r="V22" s="1591"/>
      <c r="W22" s="1590"/>
      <c r="X22" s="1591"/>
      <c r="Y22" s="1590"/>
      <c r="Z22" s="1591"/>
      <c r="AA22" s="1585"/>
      <c r="AB22" s="1094"/>
      <c r="AC22" s="219"/>
    </row>
    <row r="23" spans="1:30" x14ac:dyDescent="0.35">
      <c r="A23" s="1587"/>
      <c r="B23" s="1588"/>
      <c r="C23" s="1593"/>
      <c r="D23" s="1593"/>
      <c r="E23" s="1581"/>
      <c r="F23" s="1581"/>
      <c r="G23" s="1569">
        <f>G21*$AA$21</f>
        <v>39568.221000000005</v>
      </c>
      <c r="H23" s="1569"/>
      <c r="I23" s="1569">
        <f>I21*$AA$21</f>
        <v>39568.221000000005</v>
      </c>
      <c r="J23" s="1569"/>
      <c r="K23" s="1569">
        <f>K21*$AA$21</f>
        <v>79136.44200000001</v>
      </c>
      <c r="L23" s="1569"/>
      <c r="M23" s="1573">
        <f>M21*$AA$21</f>
        <v>79136.44200000001</v>
      </c>
      <c r="N23" s="1574"/>
      <c r="O23" s="1573">
        <f>O21*$AA$21</f>
        <v>79136.44200000001</v>
      </c>
      <c r="P23" s="1574"/>
      <c r="Q23" s="1573">
        <f>Q21*$AA$21</f>
        <v>79136.44200000001</v>
      </c>
      <c r="R23" s="1574"/>
      <c r="S23" s="1581"/>
      <c r="T23" s="1581"/>
      <c r="U23" s="1567"/>
      <c r="V23" s="1567"/>
      <c r="W23" s="1567"/>
      <c r="X23" s="1567"/>
      <c r="Y23" s="1567"/>
      <c r="Z23" s="1567"/>
      <c r="AA23" s="1585"/>
      <c r="AB23" s="1096">
        <f>SUM(C23:Z23)</f>
        <v>395682.21000000008</v>
      </c>
      <c r="AC23" s="219"/>
    </row>
    <row r="24" spans="1:30" x14ac:dyDescent="0.35">
      <c r="A24" s="1587">
        <f>ORÇ!A84</f>
        <v>7</v>
      </c>
      <c r="B24" s="1588" t="str">
        <f>ORÇ!D84</f>
        <v>Paredes e Divisórias</v>
      </c>
      <c r="C24" s="238"/>
      <c r="D24" s="239"/>
      <c r="E24" s="1594"/>
      <c r="F24" s="1594"/>
      <c r="G24" s="1568">
        <v>0.2</v>
      </c>
      <c r="H24" s="1568"/>
      <c r="I24" s="1568">
        <v>0.15</v>
      </c>
      <c r="J24" s="1568"/>
      <c r="K24" s="1568">
        <v>0.2</v>
      </c>
      <c r="L24" s="1568"/>
      <c r="M24" s="1568"/>
      <c r="N24" s="1568"/>
      <c r="O24" s="1570"/>
      <c r="P24" s="1570"/>
      <c r="Q24" s="1568">
        <v>0.2</v>
      </c>
      <c r="R24" s="1568"/>
      <c r="S24" s="1568">
        <v>0.25</v>
      </c>
      <c r="T24" s="1568"/>
      <c r="U24" s="1594"/>
      <c r="V24" s="1594"/>
      <c r="W24" s="1594"/>
      <c r="X24" s="1594"/>
      <c r="Y24" s="1570"/>
      <c r="Z24" s="1570"/>
      <c r="AA24" s="1585">
        <f>ORÇ!I90</f>
        <v>129528.33</v>
      </c>
      <c r="AB24" s="1093">
        <f>SUM(C24:Z24)</f>
        <v>1</v>
      </c>
      <c r="AC24" s="219"/>
    </row>
    <row r="25" spans="1:30" x14ac:dyDescent="0.35">
      <c r="A25" s="1587"/>
      <c r="B25" s="1588"/>
      <c r="C25" s="226"/>
      <c r="D25" s="227"/>
      <c r="E25" s="232"/>
      <c r="F25" s="236"/>
      <c r="G25" s="1553"/>
      <c r="H25" s="1554"/>
      <c r="I25" s="1553"/>
      <c r="J25" s="1554"/>
      <c r="K25" s="1553"/>
      <c r="L25" s="1554"/>
      <c r="M25" s="1590"/>
      <c r="N25" s="1591"/>
      <c r="O25" s="237"/>
      <c r="P25" s="231"/>
      <c r="Q25" s="1565"/>
      <c r="R25" s="1566"/>
      <c r="S25" s="1565"/>
      <c r="T25" s="1566"/>
      <c r="U25" s="232"/>
      <c r="V25" s="231"/>
      <c r="W25" s="1590"/>
      <c r="X25" s="1591"/>
      <c r="Y25" s="232"/>
      <c r="Z25" s="240"/>
      <c r="AA25" s="1585"/>
      <c r="AB25" s="1094"/>
      <c r="AC25" s="219"/>
      <c r="AD25" s="20"/>
    </row>
    <row r="26" spans="1:30" x14ac:dyDescent="0.35">
      <c r="A26" s="1587"/>
      <c r="B26" s="1588"/>
      <c r="C26" s="1567"/>
      <c r="D26" s="1567"/>
      <c r="E26" s="1567"/>
      <c r="F26" s="1567"/>
      <c r="G26" s="1569">
        <f>G24*$AA$24</f>
        <v>25905.666000000001</v>
      </c>
      <c r="H26" s="1569"/>
      <c r="I26" s="1569">
        <f t="shared" ref="I26" si="13">I24*$AA$24</f>
        <v>19429.249499999998</v>
      </c>
      <c r="J26" s="1569"/>
      <c r="K26" s="1569">
        <f>K24*$AA$24</f>
        <v>25905.666000000001</v>
      </c>
      <c r="L26" s="1569"/>
      <c r="M26" s="1567"/>
      <c r="N26" s="1567"/>
      <c r="O26" s="1581"/>
      <c r="P26" s="1581"/>
      <c r="Q26" s="1573">
        <f>Q24*$AA$24</f>
        <v>25905.666000000001</v>
      </c>
      <c r="R26" s="1574"/>
      <c r="S26" s="1573">
        <f>S24*$AA$24</f>
        <v>32382.0825</v>
      </c>
      <c r="T26" s="1574"/>
      <c r="U26" s="1567"/>
      <c r="V26" s="1567"/>
      <c r="W26" s="1567"/>
      <c r="X26" s="1567"/>
      <c r="Y26" s="1581"/>
      <c r="Z26" s="1581"/>
      <c r="AA26" s="1585"/>
      <c r="AB26" s="1096">
        <f>SUM(C26:Z26)</f>
        <v>129528.33</v>
      </c>
      <c r="AC26" s="219"/>
    </row>
    <row r="27" spans="1:30" x14ac:dyDescent="0.35">
      <c r="A27" s="1587">
        <f>ORÇ!A92</f>
        <v>8</v>
      </c>
      <c r="B27" s="1588" t="str">
        <f>ORÇ!D92</f>
        <v>Revestimento de Paredes</v>
      </c>
      <c r="C27" s="238"/>
      <c r="D27" s="239"/>
      <c r="E27" s="238"/>
      <c r="F27" s="239"/>
      <c r="G27" s="1568">
        <v>0.3</v>
      </c>
      <c r="H27" s="1568"/>
      <c r="I27" s="1568">
        <v>0.3</v>
      </c>
      <c r="J27" s="1568"/>
      <c r="K27" s="1568">
        <v>0.2</v>
      </c>
      <c r="L27" s="1568"/>
      <c r="M27" s="1568">
        <v>0.2</v>
      </c>
      <c r="N27" s="1568"/>
      <c r="O27" s="238"/>
      <c r="P27" s="239"/>
      <c r="Q27" s="238"/>
      <c r="R27" s="239"/>
      <c r="S27" s="238"/>
      <c r="T27" s="239"/>
      <c r="U27" s="238"/>
      <c r="V27" s="239"/>
      <c r="W27" s="238"/>
      <c r="X27" s="239"/>
      <c r="Y27" s="238"/>
      <c r="Z27" s="239"/>
      <c r="AA27" s="1585">
        <f>ORÇ!I97</f>
        <v>113448.57999999999</v>
      </c>
      <c r="AB27" s="1093">
        <f>SUM(C27:Z27)</f>
        <v>1</v>
      </c>
      <c r="AC27" s="219"/>
    </row>
    <row r="28" spans="1:30" x14ac:dyDescent="0.35">
      <c r="A28" s="1587"/>
      <c r="B28" s="1588"/>
      <c r="C28" s="226"/>
      <c r="D28" s="227"/>
      <c r="E28" s="226"/>
      <c r="F28" s="227"/>
      <c r="G28" s="1553"/>
      <c r="H28" s="1554"/>
      <c r="I28" s="1553"/>
      <c r="J28" s="1554"/>
      <c r="K28" s="1553"/>
      <c r="L28" s="1554"/>
      <c r="M28" s="1553"/>
      <c r="N28" s="1554"/>
      <c r="O28" s="226"/>
      <c r="P28" s="227"/>
      <c r="Q28" s="226"/>
      <c r="R28" s="227"/>
      <c r="S28" s="226"/>
      <c r="T28" s="227"/>
      <c r="U28" s="226"/>
      <c r="V28" s="227"/>
      <c r="W28" s="226"/>
      <c r="X28" s="227"/>
      <c r="Y28" s="226"/>
      <c r="Z28" s="227"/>
      <c r="AA28" s="1585"/>
      <c r="AB28" s="1094"/>
      <c r="AC28" s="219"/>
      <c r="AD28" s="20"/>
    </row>
    <row r="29" spans="1:30" x14ac:dyDescent="0.35">
      <c r="A29" s="1587"/>
      <c r="B29" s="1588"/>
      <c r="C29" s="1095"/>
      <c r="D29" s="1099"/>
      <c r="E29" s="1095"/>
      <c r="F29" s="1099"/>
      <c r="G29" s="1569">
        <f>G27*$AA$27</f>
        <v>34034.573999999993</v>
      </c>
      <c r="H29" s="1569"/>
      <c r="I29" s="1569">
        <f>I27*$AA$27</f>
        <v>34034.573999999993</v>
      </c>
      <c r="J29" s="1569"/>
      <c r="K29" s="1569">
        <f>K27*$AA$27</f>
        <v>22689.716</v>
      </c>
      <c r="L29" s="1569"/>
      <c r="M29" s="1569">
        <f>M27*$AA$27</f>
        <v>22689.716</v>
      </c>
      <c r="N29" s="1569"/>
      <c r="O29" s="1095"/>
      <c r="P29" s="1099"/>
      <c r="Q29" s="1095"/>
      <c r="R29" s="1099"/>
      <c r="S29" s="1095"/>
      <c r="T29" s="1099"/>
      <c r="U29" s="1095"/>
      <c r="V29" s="1099"/>
      <c r="W29" s="1095"/>
      <c r="X29" s="1099"/>
      <c r="Y29" s="1095"/>
      <c r="Z29" s="1099"/>
      <c r="AA29" s="1585"/>
      <c r="AB29" s="1096">
        <f>SUM(C29:Z29)</f>
        <v>113448.57999999999</v>
      </c>
      <c r="AC29" s="219"/>
    </row>
    <row r="30" spans="1:30" x14ac:dyDescent="0.35">
      <c r="A30" s="1587">
        <f>ORÇ!A99</f>
        <v>9</v>
      </c>
      <c r="B30" s="1588" t="str">
        <f>ORÇ!D99</f>
        <v>Esquadrias</v>
      </c>
      <c r="C30" s="238"/>
      <c r="D30" s="239"/>
      <c r="E30" s="238"/>
      <c r="F30" s="239"/>
      <c r="G30" s="238"/>
      <c r="H30" s="239"/>
      <c r="I30" s="1568">
        <v>0.4</v>
      </c>
      <c r="J30" s="1568"/>
      <c r="K30" s="1568">
        <v>0.2</v>
      </c>
      <c r="L30" s="1568"/>
      <c r="M30" s="1568">
        <v>0.2</v>
      </c>
      <c r="N30" s="1568"/>
      <c r="O30" s="1568">
        <v>0.2</v>
      </c>
      <c r="P30" s="1568"/>
      <c r="Q30" s="238"/>
      <c r="R30" s="239"/>
      <c r="S30" s="238"/>
      <c r="T30" s="239"/>
      <c r="U30" s="238"/>
      <c r="V30" s="239"/>
      <c r="W30" s="238"/>
      <c r="X30" s="239"/>
      <c r="Y30" s="238"/>
      <c r="Z30" s="239"/>
      <c r="AA30" s="1585">
        <f>ORÇ!I121</f>
        <v>278488.05999999994</v>
      </c>
      <c r="AB30" s="1093">
        <f>SUM(C30:Z30)</f>
        <v>1</v>
      </c>
      <c r="AC30" s="219"/>
    </row>
    <row r="31" spans="1:30" x14ac:dyDescent="0.35">
      <c r="A31" s="1587"/>
      <c r="B31" s="1588"/>
      <c r="C31" s="226"/>
      <c r="D31" s="227"/>
      <c r="E31" s="226"/>
      <c r="F31" s="227"/>
      <c r="G31" s="226"/>
      <c r="H31" s="227"/>
      <c r="I31" s="1565"/>
      <c r="J31" s="1566"/>
      <c r="K31" s="1553"/>
      <c r="L31" s="1554"/>
      <c r="M31" s="1565"/>
      <c r="N31" s="1566"/>
      <c r="O31" s="1565"/>
      <c r="P31" s="1566"/>
      <c r="Q31" s="226"/>
      <c r="R31" s="227"/>
      <c r="S31" s="226"/>
      <c r="T31" s="227"/>
      <c r="U31" s="226"/>
      <c r="V31" s="227"/>
      <c r="W31" s="226"/>
      <c r="X31" s="227"/>
      <c r="Y31" s="226"/>
      <c r="Z31" s="227"/>
      <c r="AA31" s="1585"/>
      <c r="AB31" s="1094"/>
      <c r="AC31" s="219"/>
      <c r="AD31" s="20"/>
    </row>
    <row r="32" spans="1:30" x14ac:dyDescent="0.35">
      <c r="A32" s="1587"/>
      <c r="B32" s="1588"/>
      <c r="C32" s="1095"/>
      <c r="D32" s="1099"/>
      <c r="E32" s="1095"/>
      <c r="F32" s="1099"/>
      <c r="G32" s="1095"/>
      <c r="H32" s="1099"/>
      <c r="I32" s="1573">
        <f>I30*$AA$30</f>
        <v>111395.22399999999</v>
      </c>
      <c r="J32" s="1574"/>
      <c r="K32" s="1569">
        <f>K30*$AA$30</f>
        <v>55697.611999999994</v>
      </c>
      <c r="L32" s="1569"/>
      <c r="M32" s="1573">
        <f>M30*$AA$30</f>
        <v>55697.611999999994</v>
      </c>
      <c r="N32" s="1574"/>
      <c r="O32" s="1573">
        <f>O30*$AA$30</f>
        <v>55697.611999999994</v>
      </c>
      <c r="P32" s="1574"/>
      <c r="Q32" s="1095"/>
      <c r="R32" s="1099"/>
      <c r="S32" s="1095"/>
      <c r="T32" s="1099"/>
      <c r="U32" s="1095"/>
      <c r="V32" s="1099"/>
      <c r="W32" s="1095"/>
      <c r="X32" s="1099"/>
      <c r="Y32" s="1095"/>
      <c r="Z32" s="1099"/>
      <c r="AA32" s="1585"/>
      <c r="AB32" s="1096">
        <f>SUM(C32:Z32)</f>
        <v>278488.05999999994</v>
      </c>
      <c r="AC32" s="219"/>
    </row>
    <row r="33" spans="1:29" x14ac:dyDescent="0.35">
      <c r="A33" s="1587">
        <f>ORÇ!A123</f>
        <v>10</v>
      </c>
      <c r="B33" s="1588" t="str">
        <f>ORÇ!D123</f>
        <v>Pintura</v>
      </c>
      <c r="C33" s="238"/>
      <c r="D33" s="239"/>
      <c r="E33" s="238"/>
      <c r="F33" s="239"/>
      <c r="G33" s="238"/>
      <c r="H33" s="239"/>
      <c r="I33" s="238"/>
      <c r="J33" s="239"/>
      <c r="K33" s="238"/>
      <c r="L33" s="239"/>
      <c r="M33" s="238"/>
      <c r="N33" s="239"/>
      <c r="O33" s="238"/>
      <c r="P33" s="239"/>
      <c r="Q33" s="238"/>
      <c r="R33" s="239"/>
      <c r="S33" s="238"/>
      <c r="T33" s="239"/>
      <c r="U33" s="238"/>
      <c r="V33" s="239"/>
      <c r="W33" s="1568">
        <v>0.5</v>
      </c>
      <c r="X33" s="1568"/>
      <c r="Y33" s="1568">
        <v>0.5</v>
      </c>
      <c r="Z33" s="1568"/>
      <c r="AA33" s="1585">
        <f>ORÇ!I130</f>
        <v>132107.78</v>
      </c>
      <c r="AB33" s="1093">
        <f>SUM(C33:Z33)</f>
        <v>1</v>
      </c>
      <c r="AC33" s="219"/>
    </row>
    <row r="34" spans="1:29" x14ac:dyDescent="0.35">
      <c r="A34" s="1587"/>
      <c r="B34" s="1588"/>
      <c r="C34" s="226"/>
      <c r="D34" s="227"/>
      <c r="E34" s="226"/>
      <c r="F34" s="227"/>
      <c r="G34" s="226"/>
      <c r="H34" s="227"/>
      <c r="I34" s="226"/>
      <c r="J34" s="227"/>
      <c r="K34" s="226"/>
      <c r="L34" s="227"/>
      <c r="M34" s="226"/>
      <c r="N34" s="227"/>
      <c r="O34" s="226"/>
      <c r="P34" s="227"/>
      <c r="Q34" s="226"/>
      <c r="R34" s="227"/>
      <c r="S34" s="226"/>
      <c r="T34" s="227"/>
      <c r="U34" s="226"/>
      <c r="V34" s="227"/>
      <c r="W34" s="1565"/>
      <c r="X34" s="1566"/>
      <c r="Y34" s="1565"/>
      <c r="Z34" s="1566"/>
      <c r="AA34" s="1585"/>
      <c r="AB34" s="1094"/>
      <c r="AC34" s="219"/>
    </row>
    <row r="35" spans="1:29" x14ac:dyDescent="0.35">
      <c r="A35" s="1587"/>
      <c r="B35" s="1588"/>
      <c r="C35" s="1095"/>
      <c r="D35" s="1099"/>
      <c r="E35" s="1095"/>
      <c r="F35" s="1099"/>
      <c r="G35" s="1095"/>
      <c r="H35" s="1099"/>
      <c r="I35" s="1095"/>
      <c r="J35" s="1099"/>
      <c r="K35" s="1095"/>
      <c r="L35" s="1099"/>
      <c r="M35" s="1095"/>
      <c r="N35" s="1099"/>
      <c r="O35" s="1095"/>
      <c r="P35" s="1099"/>
      <c r="Q35" s="1095"/>
      <c r="R35" s="1099"/>
      <c r="S35" s="1095"/>
      <c r="T35" s="1099"/>
      <c r="U35" s="1095"/>
      <c r="V35" s="1099"/>
      <c r="W35" s="1573">
        <f>W33*$AA$33</f>
        <v>66053.89</v>
      </c>
      <c r="X35" s="1574"/>
      <c r="Y35" s="1573">
        <f>Y33*$AA$33</f>
        <v>66053.89</v>
      </c>
      <c r="Z35" s="1574"/>
      <c r="AA35" s="1585"/>
      <c r="AB35" s="1096">
        <f>SUM(C35:Z35)</f>
        <v>132107.78</v>
      </c>
      <c r="AC35" s="219"/>
    </row>
    <row r="36" spans="1:29" x14ac:dyDescent="0.35">
      <c r="A36" s="1587">
        <f>ORÇ!A132</f>
        <v>11</v>
      </c>
      <c r="B36" s="1588" t="str">
        <f>ORÇ!D132</f>
        <v>Instalações Elétricas</v>
      </c>
      <c r="C36" s="238"/>
      <c r="D36" s="239"/>
      <c r="E36" s="238"/>
      <c r="F36" s="239"/>
      <c r="G36" s="238"/>
      <c r="H36" s="239"/>
      <c r="I36" s="238"/>
      <c r="J36" s="239"/>
      <c r="K36" s="1571"/>
      <c r="L36" s="1571"/>
      <c r="M36" s="1571"/>
      <c r="N36" s="1571"/>
      <c r="O36" s="1571"/>
      <c r="P36" s="1571"/>
      <c r="Q36" s="1568">
        <v>0.2</v>
      </c>
      <c r="R36" s="1568"/>
      <c r="S36" s="1568">
        <v>0.2</v>
      </c>
      <c r="T36" s="1568"/>
      <c r="U36" s="1568">
        <v>0.2</v>
      </c>
      <c r="V36" s="1568"/>
      <c r="W36" s="1568">
        <v>0.2</v>
      </c>
      <c r="X36" s="1568"/>
      <c r="Y36" s="1568">
        <v>0.2</v>
      </c>
      <c r="Z36" s="1568"/>
      <c r="AA36" s="1585">
        <f>ORÇ!I258</f>
        <v>512904.14</v>
      </c>
      <c r="AB36" s="1093">
        <f>SUM(C36:Z36)</f>
        <v>1</v>
      </c>
      <c r="AC36" s="219"/>
    </row>
    <row r="37" spans="1:29" x14ac:dyDescent="0.35">
      <c r="A37" s="1587"/>
      <c r="B37" s="1588"/>
      <c r="C37" s="226"/>
      <c r="D37" s="227"/>
      <c r="E37" s="226"/>
      <c r="F37" s="227"/>
      <c r="G37" s="226"/>
      <c r="H37" s="227"/>
      <c r="I37" s="226"/>
      <c r="J37" s="227"/>
      <c r="K37" s="235"/>
      <c r="L37" s="236"/>
      <c r="M37" s="235"/>
      <c r="N37" s="236"/>
      <c r="O37" s="1576"/>
      <c r="P37" s="1577"/>
      <c r="Q37" s="1565"/>
      <c r="R37" s="1566"/>
      <c r="S37" s="1565"/>
      <c r="T37" s="1566"/>
      <c r="U37" s="1565"/>
      <c r="V37" s="1566"/>
      <c r="W37" s="1565"/>
      <c r="X37" s="1566"/>
      <c r="Y37" s="1565"/>
      <c r="Z37" s="1566"/>
      <c r="AA37" s="1585"/>
      <c r="AB37" s="1094"/>
      <c r="AC37" s="219"/>
    </row>
    <row r="38" spans="1:29" x14ac:dyDescent="0.35">
      <c r="A38" s="1587"/>
      <c r="B38" s="1588"/>
      <c r="C38" s="1095"/>
      <c r="D38" s="1099"/>
      <c r="E38" s="1095"/>
      <c r="F38" s="1099"/>
      <c r="G38" s="1095"/>
      <c r="H38" s="1099"/>
      <c r="I38" s="1095"/>
      <c r="J38" s="1099"/>
      <c r="K38" s="1572"/>
      <c r="L38" s="1572"/>
      <c r="M38" s="1572"/>
      <c r="N38" s="1572"/>
      <c r="O38" s="1578"/>
      <c r="P38" s="1579"/>
      <c r="Q38" s="1573">
        <f>Q36*$AA$36</f>
        <v>102580.82800000001</v>
      </c>
      <c r="R38" s="1574"/>
      <c r="S38" s="1573">
        <f>S36*$AA$36</f>
        <v>102580.82800000001</v>
      </c>
      <c r="T38" s="1574"/>
      <c r="U38" s="1573">
        <f>U36*$AA$36</f>
        <v>102580.82800000001</v>
      </c>
      <c r="V38" s="1574"/>
      <c r="W38" s="1573">
        <f>W36*$AA$36</f>
        <v>102580.82800000001</v>
      </c>
      <c r="X38" s="1574"/>
      <c r="Y38" s="1573">
        <f>Y36*$AA$36</f>
        <v>102580.82800000001</v>
      </c>
      <c r="Z38" s="1574"/>
      <c r="AA38" s="1585"/>
      <c r="AB38" s="1096">
        <f>SUM(C38:Z38)</f>
        <v>512904.14</v>
      </c>
      <c r="AC38" s="219"/>
    </row>
    <row r="39" spans="1:29" x14ac:dyDescent="0.35">
      <c r="A39" s="1587">
        <f>ORÇ!A260</f>
        <v>12</v>
      </c>
      <c r="B39" s="1588" t="str">
        <f>ORÇ!D260</f>
        <v>SISTEMAS ELETRÔNICOS - CABEAMENO ESTUTURADO E CFTV</v>
      </c>
      <c r="C39" s="238"/>
      <c r="D39" s="239"/>
      <c r="E39" s="238"/>
      <c r="F39" s="239"/>
      <c r="G39" s="238"/>
      <c r="H39" s="239"/>
      <c r="I39" s="238"/>
      <c r="J39" s="239"/>
      <c r="K39" s="1568">
        <v>0.1</v>
      </c>
      <c r="L39" s="1568"/>
      <c r="M39" s="238"/>
      <c r="N39" s="239"/>
      <c r="O39" s="1571"/>
      <c r="P39" s="1571"/>
      <c r="Q39" s="1568">
        <v>0.2</v>
      </c>
      <c r="R39" s="1568"/>
      <c r="S39" s="1568">
        <v>0.2</v>
      </c>
      <c r="T39" s="1568"/>
      <c r="U39" s="1568">
        <v>0.2</v>
      </c>
      <c r="V39" s="1568"/>
      <c r="W39" s="1568">
        <v>0.1</v>
      </c>
      <c r="X39" s="1568"/>
      <c r="Y39" s="1568">
        <v>0.2</v>
      </c>
      <c r="Z39" s="1568"/>
      <c r="AA39" s="1585">
        <f>ORÇ!I298</f>
        <v>108267.26999999997</v>
      </c>
      <c r="AB39" s="1093">
        <f>SUM(C39:Z39)</f>
        <v>1</v>
      </c>
      <c r="AC39" s="219"/>
    </row>
    <row r="40" spans="1:29" x14ac:dyDescent="0.35">
      <c r="A40" s="1587"/>
      <c r="B40" s="1588"/>
      <c r="C40" s="226"/>
      <c r="D40" s="227"/>
      <c r="E40" s="226"/>
      <c r="F40" s="227"/>
      <c r="G40" s="226"/>
      <c r="H40" s="227"/>
      <c r="I40" s="226"/>
      <c r="J40" s="227"/>
      <c r="K40" s="1553"/>
      <c r="L40" s="1554"/>
      <c r="M40" s="226"/>
      <c r="N40" s="227"/>
      <c r="O40" s="1576"/>
      <c r="P40" s="1577"/>
      <c r="Q40" s="1565"/>
      <c r="R40" s="1566"/>
      <c r="S40" s="1565"/>
      <c r="T40" s="1566"/>
      <c r="U40" s="1565"/>
      <c r="V40" s="1566"/>
      <c r="W40" s="1565"/>
      <c r="X40" s="1566"/>
      <c r="Y40" s="1565"/>
      <c r="Z40" s="1566"/>
      <c r="AA40" s="1585"/>
      <c r="AB40" s="1094"/>
      <c r="AC40" s="219"/>
    </row>
    <row r="41" spans="1:29" x14ac:dyDescent="0.35">
      <c r="A41" s="1587"/>
      <c r="B41" s="1588"/>
      <c r="C41" s="1095"/>
      <c r="D41" s="1099"/>
      <c r="E41" s="1095"/>
      <c r="F41" s="1099"/>
      <c r="G41" s="1095"/>
      <c r="H41" s="1099"/>
      <c r="I41" s="1095"/>
      <c r="J41" s="1099"/>
      <c r="K41" s="1569">
        <f>K39*$AA$39</f>
        <v>10826.726999999999</v>
      </c>
      <c r="L41" s="1569"/>
      <c r="M41" s="1095"/>
      <c r="N41" s="1099"/>
      <c r="O41" s="1578"/>
      <c r="P41" s="1579"/>
      <c r="Q41" s="1573">
        <f>Q39*$AA$39</f>
        <v>21653.453999999998</v>
      </c>
      <c r="R41" s="1574"/>
      <c r="S41" s="1573">
        <f>S39*$AA$39</f>
        <v>21653.453999999998</v>
      </c>
      <c r="T41" s="1574"/>
      <c r="U41" s="1573">
        <f>U39*$AA$39</f>
        <v>21653.453999999998</v>
      </c>
      <c r="V41" s="1574"/>
      <c r="W41" s="1573">
        <f>W39*$AA$39</f>
        <v>10826.726999999999</v>
      </c>
      <c r="X41" s="1574"/>
      <c r="Y41" s="1573">
        <f>Y39*$AA$39</f>
        <v>21653.453999999998</v>
      </c>
      <c r="Z41" s="1574"/>
      <c r="AA41" s="1585"/>
      <c r="AB41" s="1096">
        <f>SUM(C41:Z41)</f>
        <v>108267.26999999999</v>
      </c>
      <c r="AC41" s="219"/>
    </row>
    <row r="42" spans="1:29" x14ac:dyDescent="0.35">
      <c r="A42" s="1587">
        <f>ORÇ!A300</f>
        <v>13</v>
      </c>
      <c r="B42" s="1588" t="str">
        <f>ORÇ!D300</f>
        <v>Instalações de Ar Condicionado</v>
      </c>
      <c r="C42" s="238"/>
      <c r="D42" s="239"/>
      <c r="E42" s="238"/>
      <c r="F42" s="239"/>
      <c r="G42" s="238"/>
      <c r="H42" s="239"/>
      <c r="I42" s="238"/>
      <c r="J42" s="239"/>
      <c r="K42" s="1568">
        <v>0.2</v>
      </c>
      <c r="L42" s="1568"/>
      <c r="M42" s="238"/>
      <c r="N42" s="239"/>
      <c r="O42" s="1571"/>
      <c r="P42" s="1571"/>
      <c r="Q42" s="1568">
        <v>0.2</v>
      </c>
      <c r="R42" s="1568"/>
      <c r="S42" s="1568">
        <v>0.2</v>
      </c>
      <c r="T42" s="1568"/>
      <c r="U42" s="1568">
        <v>0.2</v>
      </c>
      <c r="V42" s="1568"/>
      <c r="W42" s="1568">
        <v>0.2</v>
      </c>
      <c r="X42" s="1568"/>
      <c r="Y42" s="1571"/>
      <c r="Z42" s="1571"/>
      <c r="AA42" s="1585">
        <f>ORÇ!I314</f>
        <v>66228.400000000009</v>
      </c>
      <c r="AB42" s="1093">
        <f>SUM(C42:Z42)</f>
        <v>1</v>
      </c>
      <c r="AC42" s="219"/>
    </row>
    <row r="43" spans="1:29" x14ac:dyDescent="0.35">
      <c r="A43" s="1587"/>
      <c r="B43" s="1588"/>
      <c r="C43" s="226"/>
      <c r="D43" s="227"/>
      <c r="E43" s="226"/>
      <c r="F43" s="227"/>
      <c r="G43" s="226"/>
      <c r="H43" s="227"/>
      <c r="I43" s="226"/>
      <c r="J43" s="227"/>
      <c r="K43" s="1553"/>
      <c r="L43" s="1554"/>
      <c r="M43" s="226"/>
      <c r="N43" s="227"/>
      <c r="O43" s="1576"/>
      <c r="P43" s="1577"/>
      <c r="Q43" s="1565"/>
      <c r="R43" s="1566"/>
      <c r="S43" s="1565"/>
      <c r="T43" s="1566"/>
      <c r="U43" s="1565"/>
      <c r="V43" s="1566"/>
      <c r="W43" s="1565"/>
      <c r="X43" s="1566"/>
      <c r="Y43" s="1576"/>
      <c r="Z43" s="1577"/>
      <c r="AA43" s="1585"/>
      <c r="AB43" s="1094"/>
      <c r="AC43" s="219"/>
    </row>
    <row r="44" spans="1:29" x14ac:dyDescent="0.35">
      <c r="A44" s="1587"/>
      <c r="B44" s="1588"/>
      <c r="C44" s="1095"/>
      <c r="D44" s="1099"/>
      <c r="E44" s="1095"/>
      <c r="F44" s="1099"/>
      <c r="G44" s="1095"/>
      <c r="H44" s="1099"/>
      <c r="I44" s="1095"/>
      <c r="J44" s="1099"/>
      <c r="K44" s="1569">
        <f>K42*$AA$42</f>
        <v>13245.680000000002</v>
      </c>
      <c r="L44" s="1569"/>
      <c r="M44" s="1095"/>
      <c r="N44" s="1099"/>
      <c r="O44" s="1578"/>
      <c r="P44" s="1579"/>
      <c r="Q44" s="1573">
        <f>Q42*$AA$42</f>
        <v>13245.680000000002</v>
      </c>
      <c r="R44" s="1574"/>
      <c r="S44" s="1573">
        <f>S42*$AA$42</f>
        <v>13245.680000000002</v>
      </c>
      <c r="T44" s="1574"/>
      <c r="U44" s="1573">
        <f>U42*$AA$42</f>
        <v>13245.680000000002</v>
      </c>
      <c r="V44" s="1574"/>
      <c r="W44" s="1573">
        <f>W42*$AA$42</f>
        <v>13245.680000000002</v>
      </c>
      <c r="X44" s="1574"/>
      <c r="Y44" s="1578"/>
      <c r="Z44" s="1579"/>
      <c r="AA44" s="1585"/>
      <c r="AB44" s="1096">
        <f>SUM(C44:Z44)</f>
        <v>66228.400000000009</v>
      </c>
      <c r="AC44" s="219"/>
    </row>
    <row r="45" spans="1:29" x14ac:dyDescent="0.35">
      <c r="A45" s="1587">
        <f>ORÇ!A316</f>
        <v>14</v>
      </c>
      <c r="B45" s="1588" t="str">
        <f>ORÇ!D316</f>
        <v>Instalações Hidrosanitárias</v>
      </c>
      <c r="C45" s="238"/>
      <c r="D45" s="239"/>
      <c r="E45" s="238"/>
      <c r="F45" s="239"/>
      <c r="G45" s="238"/>
      <c r="H45" s="239"/>
      <c r="I45" s="238"/>
      <c r="J45" s="239"/>
      <c r="K45" s="1571"/>
      <c r="L45" s="1571"/>
      <c r="M45" s="1568">
        <v>0.2</v>
      </c>
      <c r="N45" s="1568"/>
      <c r="O45" s="1568">
        <v>0.2</v>
      </c>
      <c r="P45" s="1568"/>
      <c r="Q45" s="1568">
        <v>0.3</v>
      </c>
      <c r="R45" s="1568"/>
      <c r="S45" s="238"/>
      <c r="T45" s="239"/>
      <c r="U45" s="238"/>
      <c r="V45" s="239"/>
      <c r="W45" s="238"/>
      <c r="X45" s="239"/>
      <c r="Y45" s="1568">
        <v>0.3</v>
      </c>
      <c r="Z45" s="1568"/>
      <c r="AA45" s="1585">
        <f>ORÇ!I380</f>
        <v>132995.63000000003</v>
      </c>
      <c r="AB45" s="1093">
        <f>SUM(C45:Z45)</f>
        <v>1</v>
      </c>
      <c r="AC45" s="219"/>
    </row>
    <row r="46" spans="1:29" x14ac:dyDescent="0.35">
      <c r="A46" s="1587"/>
      <c r="B46" s="1588"/>
      <c r="C46" s="226"/>
      <c r="D46" s="227"/>
      <c r="E46" s="226"/>
      <c r="F46" s="227"/>
      <c r="G46" s="226"/>
      <c r="H46" s="227"/>
      <c r="I46" s="226"/>
      <c r="J46" s="227"/>
      <c r="K46" s="235"/>
      <c r="L46" s="236"/>
      <c r="M46" s="1565"/>
      <c r="N46" s="1566"/>
      <c r="O46" s="1565"/>
      <c r="P46" s="1566"/>
      <c r="Q46" s="1565"/>
      <c r="R46" s="1566"/>
      <c r="S46" s="226"/>
      <c r="T46" s="227"/>
      <c r="U46" s="226"/>
      <c r="V46" s="227"/>
      <c r="W46" s="226"/>
      <c r="X46" s="227"/>
      <c r="Y46" s="1565"/>
      <c r="Z46" s="1566"/>
      <c r="AA46" s="1585"/>
      <c r="AB46" s="1094"/>
      <c r="AC46" s="219"/>
    </row>
    <row r="47" spans="1:29" x14ac:dyDescent="0.35">
      <c r="A47" s="1587"/>
      <c r="B47" s="1588"/>
      <c r="C47" s="1095"/>
      <c r="D47" s="1099"/>
      <c r="E47" s="1095"/>
      <c r="F47" s="1099"/>
      <c r="G47" s="1095"/>
      <c r="H47" s="1099"/>
      <c r="I47" s="1095"/>
      <c r="J47" s="1099"/>
      <c r="K47" s="1572"/>
      <c r="L47" s="1572"/>
      <c r="M47" s="1573">
        <f>M45*$AA$45</f>
        <v>26599.126000000007</v>
      </c>
      <c r="N47" s="1574"/>
      <c r="O47" s="1573">
        <f>O45*$AA$45</f>
        <v>26599.126000000007</v>
      </c>
      <c r="P47" s="1574"/>
      <c r="Q47" s="1573">
        <f>Q45*$AA$45</f>
        <v>39898.689000000006</v>
      </c>
      <c r="R47" s="1574"/>
      <c r="S47" s="1095"/>
      <c r="T47" s="1099"/>
      <c r="U47" s="1095"/>
      <c r="V47" s="1099"/>
      <c r="W47" s="1095"/>
      <c r="X47" s="1099"/>
      <c r="Y47" s="1573">
        <f>Y45*$AA$45</f>
        <v>39898.689000000006</v>
      </c>
      <c r="Z47" s="1574"/>
      <c r="AA47" s="1585"/>
      <c r="AB47" s="1096">
        <f>SUM(C47:Z47)</f>
        <v>132995.63000000003</v>
      </c>
      <c r="AC47" s="219"/>
    </row>
    <row r="48" spans="1:29" x14ac:dyDescent="0.35">
      <c r="A48" s="1587">
        <f>ORÇ!A382</f>
        <v>15</v>
      </c>
      <c r="B48" s="1588" t="str">
        <f>ORÇ!D382</f>
        <v>Prevenção e Combate a Incêndio</v>
      </c>
      <c r="C48" s="238"/>
      <c r="D48" s="239"/>
      <c r="E48" s="238"/>
      <c r="F48" s="239"/>
      <c r="G48" s="238"/>
      <c r="H48" s="239"/>
      <c r="I48" s="238"/>
      <c r="J48" s="239"/>
      <c r="K48" s="1561"/>
      <c r="L48" s="234"/>
      <c r="M48" s="1568">
        <v>0.4</v>
      </c>
      <c r="N48" s="1568"/>
      <c r="O48" s="238"/>
      <c r="P48" s="239"/>
      <c r="Q48" s="238"/>
      <c r="R48" s="239"/>
      <c r="S48" s="238"/>
      <c r="T48" s="239"/>
      <c r="U48" s="238"/>
      <c r="V48" s="239"/>
      <c r="W48" s="1568">
        <v>0.6</v>
      </c>
      <c r="X48" s="1568"/>
      <c r="Y48" s="238"/>
      <c r="Z48" s="239"/>
      <c r="AA48" s="1585">
        <f>ORÇ!I407</f>
        <v>39882.090000000004</v>
      </c>
      <c r="AB48" s="1093">
        <f>SUM(C48:Z48)</f>
        <v>1</v>
      </c>
      <c r="AC48" s="219"/>
    </row>
    <row r="49" spans="1:29" x14ac:dyDescent="0.35">
      <c r="A49" s="1587"/>
      <c r="B49" s="1588"/>
      <c r="C49" s="226"/>
      <c r="D49" s="227"/>
      <c r="E49" s="226"/>
      <c r="F49" s="227"/>
      <c r="G49" s="226"/>
      <c r="H49" s="227"/>
      <c r="I49" s="226"/>
      <c r="J49" s="227"/>
      <c r="K49" s="226"/>
      <c r="L49" s="227"/>
      <c r="M49" s="1565"/>
      <c r="N49" s="1566"/>
      <c r="O49" s="226"/>
      <c r="P49" s="227"/>
      <c r="Q49" s="226"/>
      <c r="R49" s="227"/>
      <c r="S49" s="226"/>
      <c r="T49" s="227"/>
      <c r="U49" s="226"/>
      <c r="V49" s="227"/>
      <c r="W49" s="1565"/>
      <c r="X49" s="1566"/>
      <c r="Y49" s="226"/>
      <c r="Z49" s="227"/>
      <c r="AA49" s="1585"/>
      <c r="AB49" s="1094"/>
      <c r="AC49" s="219"/>
    </row>
    <row r="50" spans="1:29" x14ac:dyDescent="0.35">
      <c r="A50" s="1587"/>
      <c r="B50" s="1588"/>
      <c r="C50" s="1095"/>
      <c r="D50" s="1099"/>
      <c r="E50" s="1095"/>
      <c r="F50" s="1099"/>
      <c r="G50" s="1095"/>
      <c r="H50" s="1099"/>
      <c r="I50" s="1095"/>
      <c r="J50" s="1099"/>
      <c r="K50" s="1095"/>
      <c r="L50" s="1099"/>
      <c r="M50" s="1573">
        <f>M48*$AA$48</f>
        <v>15952.836000000003</v>
      </c>
      <c r="N50" s="1574"/>
      <c r="O50" s="1095"/>
      <c r="P50" s="1099"/>
      <c r="Q50" s="1095"/>
      <c r="R50" s="1099"/>
      <c r="S50" s="1095"/>
      <c r="T50" s="1099"/>
      <c r="U50" s="1095"/>
      <c r="V50" s="1099"/>
      <c r="W50" s="1573">
        <f>W48*$AA$48</f>
        <v>23929.254000000001</v>
      </c>
      <c r="X50" s="1574"/>
      <c r="Y50" s="1095"/>
      <c r="Z50" s="1099"/>
      <c r="AA50" s="1585"/>
      <c r="AB50" s="1096">
        <f>SUM(C50:Z50)</f>
        <v>39882.090000000004</v>
      </c>
      <c r="AC50" s="219"/>
    </row>
    <row r="51" spans="1:29" x14ac:dyDescent="0.35">
      <c r="A51" s="1587">
        <f>ORÇ!A409</f>
        <v>16</v>
      </c>
      <c r="B51" s="1588" t="str">
        <f>ORÇ!D409</f>
        <v>Louças, Acessórios e Metais</v>
      </c>
      <c r="C51" s="238"/>
      <c r="D51" s="239"/>
      <c r="E51" s="238"/>
      <c r="F51" s="239"/>
      <c r="G51" s="238"/>
      <c r="H51" s="239"/>
      <c r="I51" s="238"/>
      <c r="J51" s="239"/>
      <c r="K51" s="238"/>
      <c r="L51" s="239"/>
      <c r="M51" s="238"/>
      <c r="N51" s="239"/>
      <c r="O51" s="238"/>
      <c r="P51" s="239"/>
      <c r="Q51" s="238"/>
      <c r="R51" s="239"/>
      <c r="S51" s="238"/>
      <c r="T51" s="239"/>
      <c r="U51" s="1568">
        <v>0.5</v>
      </c>
      <c r="V51" s="1568"/>
      <c r="W51" s="1568">
        <v>0.5</v>
      </c>
      <c r="X51" s="1568"/>
      <c r="Y51" s="238"/>
      <c r="Z51" s="239"/>
      <c r="AA51" s="1585">
        <f>ORÇ!I436</f>
        <v>98002.12000000001</v>
      </c>
      <c r="AB51" s="1093">
        <f>SUM(C51:Z51)</f>
        <v>1</v>
      </c>
      <c r="AC51" s="219"/>
    </row>
    <row r="52" spans="1:29" x14ac:dyDescent="0.35">
      <c r="A52" s="1587"/>
      <c r="B52" s="1588"/>
      <c r="C52" s="226"/>
      <c r="D52" s="227"/>
      <c r="E52" s="226"/>
      <c r="F52" s="227"/>
      <c r="G52" s="226"/>
      <c r="H52" s="227"/>
      <c r="I52" s="226"/>
      <c r="J52" s="227"/>
      <c r="K52" s="226"/>
      <c r="L52" s="227"/>
      <c r="M52" s="226"/>
      <c r="N52" s="227"/>
      <c r="O52" s="226"/>
      <c r="P52" s="227"/>
      <c r="Q52" s="226"/>
      <c r="R52" s="227"/>
      <c r="S52" s="226"/>
      <c r="T52" s="227"/>
      <c r="U52" s="1565"/>
      <c r="V52" s="1566"/>
      <c r="W52" s="1565"/>
      <c r="X52" s="1566"/>
      <c r="Y52" s="226"/>
      <c r="Z52" s="227"/>
      <c r="AA52" s="1585"/>
      <c r="AB52" s="1094"/>
      <c r="AC52" s="219"/>
    </row>
    <row r="53" spans="1:29" x14ac:dyDescent="0.35">
      <c r="A53" s="1587"/>
      <c r="B53" s="1588"/>
      <c r="C53" s="1095"/>
      <c r="D53" s="1099"/>
      <c r="E53" s="1095"/>
      <c r="F53" s="1099"/>
      <c r="G53" s="1095"/>
      <c r="H53" s="1099"/>
      <c r="I53" s="1095"/>
      <c r="J53" s="1099"/>
      <c r="K53" s="1095"/>
      <c r="L53" s="1099"/>
      <c r="M53" s="1095"/>
      <c r="N53" s="1099"/>
      <c r="O53" s="1095"/>
      <c r="P53" s="1099"/>
      <c r="Q53" s="1095"/>
      <c r="R53" s="1099"/>
      <c r="S53" s="1095"/>
      <c r="T53" s="1099"/>
      <c r="U53" s="1573">
        <f>U51*$AA$51</f>
        <v>49001.060000000005</v>
      </c>
      <c r="V53" s="1574"/>
      <c r="W53" s="1573">
        <f>W51*$AA$51</f>
        <v>49001.060000000005</v>
      </c>
      <c r="X53" s="1574"/>
      <c r="Y53" s="1095"/>
      <c r="Z53" s="1099"/>
      <c r="AA53" s="1585"/>
      <c r="AB53" s="1096">
        <f>SUM(C53:Z53)</f>
        <v>98002.12000000001</v>
      </c>
      <c r="AC53" s="219"/>
    </row>
    <row r="54" spans="1:29" x14ac:dyDescent="0.35">
      <c r="A54" s="1587">
        <f>ORÇ!A438</f>
        <v>17</v>
      </c>
      <c r="B54" s="1588" t="str">
        <f>ORÇ!D438</f>
        <v>Muro/Gradil</v>
      </c>
      <c r="C54" s="238"/>
      <c r="D54" s="239"/>
      <c r="E54" s="238"/>
      <c r="F54" s="239"/>
      <c r="G54" s="238"/>
      <c r="H54" s="239"/>
      <c r="I54" s="238"/>
      <c r="J54" s="239"/>
      <c r="K54" s="238"/>
      <c r="L54" s="239"/>
      <c r="M54" s="238"/>
      <c r="N54" s="239"/>
      <c r="O54" s="238"/>
      <c r="P54" s="239"/>
      <c r="Q54" s="238"/>
      <c r="R54" s="239"/>
      <c r="S54" s="238"/>
      <c r="T54" s="239"/>
      <c r="U54" s="1563">
        <v>1</v>
      </c>
      <c r="V54" s="1564"/>
      <c r="W54" s="238"/>
      <c r="X54" s="239"/>
      <c r="Y54" s="1606"/>
      <c r="Z54" s="1607"/>
      <c r="AA54" s="1585">
        <f>ORÇ!I442</f>
        <v>59954.64</v>
      </c>
      <c r="AB54" s="1093">
        <f>SUM(C54:Z54)</f>
        <v>1</v>
      </c>
      <c r="AC54" s="219"/>
    </row>
    <row r="55" spans="1:29" x14ac:dyDescent="0.35">
      <c r="A55" s="1587"/>
      <c r="B55" s="1588"/>
      <c r="C55" s="226"/>
      <c r="D55" s="227"/>
      <c r="E55" s="226"/>
      <c r="F55" s="227"/>
      <c r="G55" s="226"/>
      <c r="H55" s="227"/>
      <c r="I55" s="226"/>
      <c r="J55" s="227"/>
      <c r="K55" s="226"/>
      <c r="L55" s="227"/>
      <c r="M55" s="226"/>
      <c r="N55" s="227"/>
      <c r="O55" s="226"/>
      <c r="P55" s="227"/>
      <c r="Q55" s="226"/>
      <c r="R55" s="227"/>
      <c r="S55" s="226"/>
      <c r="T55" s="227"/>
      <c r="U55" s="1565"/>
      <c r="V55" s="1566"/>
      <c r="W55" s="226"/>
      <c r="X55" s="227"/>
      <c r="Y55" s="1576"/>
      <c r="Z55" s="1577"/>
      <c r="AA55" s="1585"/>
      <c r="AB55" s="1094"/>
      <c r="AC55" s="219"/>
    </row>
    <row r="56" spans="1:29" x14ac:dyDescent="0.35">
      <c r="A56" s="1587"/>
      <c r="B56" s="1588"/>
      <c r="C56" s="1095"/>
      <c r="D56" s="1099"/>
      <c r="E56" s="1095"/>
      <c r="F56" s="1099"/>
      <c r="G56" s="1095"/>
      <c r="H56" s="1099"/>
      <c r="I56" s="1095"/>
      <c r="J56" s="1099"/>
      <c r="K56" s="1095"/>
      <c r="L56" s="1099"/>
      <c r="M56" s="1095"/>
      <c r="N56" s="1099"/>
      <c r="O56" s="1095"/>
      <c r="P56" s="1099"/>
      <c r="Q56" s="1095"/>
      <c r="R56" s="1099"/>
      <c r="S56" s="1095"/>
      <c r="T56" s="1099"/>
      <c r="U56" s="1567">
        <f>U54*$AA$54</f>
        <v>59954.64</v>
      </c>
      <c r="V56" s="1567"/>
      <c r="W56" s="1095"/>
      <c r="X56" s="1099"/>
      <c r="Y56" s="1593"/>
      <c r="Z56" s="1593"/>
      <c r="AA56" s="1585"/>
      <c r="AB56" s="1096">
        <f>SUM(C56:Z56)</f>
        <v>59954.64</v>
      </c>
      <c r="AC56" s="219"/>
    </row>
    <row r="57" spans="1:29" x14ac:dyDescent="0.35">
      <c r="A57" s="1587">
        <f>ORÇ!A444</f>
        <v>18</v>
      </c>
      <c r="B57" s="1588" t="str">
        <f>ORÇ!D444</f>
        <v>Serviços Diversos</v>
      </c>
      <c r="C57" s="238"/>
      <c r="D57" s="239"/>
      <c r="E57" s="238"/>
      <c r="F57" s="239"/>
      <c r="G57" s="238"/>
      <c r="H57" s="239"/>
      <c r="I57" s="238"/>
      <c r="J57" s="239"/>
      <c r="K57" s="238"/>
      <c r="L57" s="239"/>
      <c r="M57" s="238"/>
      <c r="N57" s="239"/>
      <c r="O57" s="238"/>
      <c r="P57" s="239"/>
      <c r="Q57" s="238"/>
      <c r="R57" s="239"/>
      <c r="S57" s="1563">
        <v>0.25</v>
      </c>
      <c r="T57" s="1564"/>
      <c r="U57" s="1563">
        <v>0.25</v>
      </c>
      <c r="V57" s="1564"/>
      <c r="W57" s="1606"/>
      <c r="X57" s="1607"/>
      <c r="Y57" s="1563">
        <v>0.5</v>
      </c>
      <c r="Z57" s="1564"/>
      <c r="AA57" s="1585">
        <f>ORÇ!I451</f>
        <v>55414.35</v>
      </c>
      <c r="AB57" s="1093">
        <f>SUM(C57:Z57)</f>
        <v>1</v>
      </c>
      <c r="AC57" s="219"/>
    </row>
    <row r="58" spans="1:29" x14ac:dyDescent="0.35">
      <c r="A58" s="1587"/>
      <c r="B58" s="1588"/>
      <c r="C58" s="226"/>
      <c r="D58" s="227"/>
      <c r="E58" s="226"/>
      <c r="F58" s="227"/>
      <c r="G58" s="226"/>
      <c r="H58" s="227"/>
      <c r="I58" s="226"/>
      <c r="J58" s="227"/>
      <c r="K58" s="226"/>
      <c r="L58" s="227"/>
      <c r="M58" s="226"/>
      <c r="N58" s="227"/>
      <c r="O58" s="226"/>
      <c r="P58" s="227"/>
      <c r="Q58" s="226"/>
      <c r="R58" s="227"/>
      <c r="S58" s="1565"/>
      <c r="T58" s="1566"/>
      <c r="U58" s="1565"/>
      <c r="V58" s="1566"/>
      <c r="W58" s="1576"/>
      <c r="X58" s="1577"/>
      <c r="Y58" s="1565"/>
      <c r="Z58" s="1566"/>
      <c r="AA58" s="1585"/>
      <c r="AB58" s="1094"/>
      <c r="AC58" s="219"/>
    </row>
    <row r="59" spans="1:29" x14ac:dyDescent="0.35">
      <c r="A59" s="1587"/>
      <c r="B59" s="1588"/>
      <c r="C59" s="1095"/>
      <c r="D59" s="1099"/>
      <c r="E59" s="1095"/>
      <c r="F59" s="1099"/>
      <c r="G59" s="1095"/>
      <c r="H59" s="1099"/>
      <c r="I59" s="1095"/>
      <c r="J59" s="1099"/>
      <c r="K59" s="1095"/>
      <c r="L59" s="1099"/>
      <c r="M59" s="1095"/>
      <c r="N59" s="1099"/>
      <c r="O59" s="1095"/>
      <c r="P59" s="1099"/>
      <c r="Q59" s="1095"/>
      <c r="R59" s="1099"/>
      <c r="S59" s="1575">
        <f>S57*$AA$57</f>
        <v>13853.5875</v>
      </c>
      <c r="T59" s="1574"/>
      <c r="U59" s="1575">
        <f>U57*$AA$57</f>
        <v>13853.5875</v>
      </c>
      <c r="V59" s="1574"/>
      <c r="W59" s="1580"/>
      <c r="X59" s="1579"/>
      <c r="Y59" s="1575">
        <f>Y57*$AA$57</f>
        <v>27707.174999999999</v>
      </c>
      <c r="Z59" s="1574"/>
      <c r="AA59" s="1585"/>
      <c r="AB59" s="1096">
        <f>SUM(C59:Z59)</f>
        <v>55414.35</v>
      </c>
      <c r="AC59" s="219"/>
    </row>
    <row r="60" spans="1:29" x14ac:dyDescent="0.35">
      <c r="A60" s="1587">
        <f>ORÇ!A453</f>
        <v>19</v>
      </c>
      <c r="B60" s="1588" t="str">
        <f>ORÇ!D453</f>
        <v>Casa de Bomba e Cisterna</v>
      </c>
      <c r="C60" s="238"/>
      <c r="D60" s="239"/>
      <c r="E60" s="238"/>
      <c r="F60" s="239"/>
      <c r="G60" s="238"/>
      <c r="H60" s="239"/>
      <c r="I60" s="238"/>
      <c r="J60" s="239"/>
      <c r="K60" s="238"/>
      <c r="L60" s="239"/>
      <c r="M60" s="238"/>
      <c r="N60" s="239"/>
      <c r="O60" s="238"/>
      <c r="P60" s="239"/>
      <c r="Q60" s="238"/>
      <c r="R60" s="239"/>
      <c r="S60" s="238"/>
      <c r="T60" s="239"/>
      <c r="U60" s="1568">
        <v>0.5</v>
      </c>
      <c r="V60" s="1568"/>
      <c r="W60" s="1568">
        <v>0.5</v>
      </c>
      <c r="X60" s="1568"/>
      <c r="Y60" s="1571"/>
      <c r="Z60" s="1571"/>
      <c r="AA60" s="1585">
        <f>ORÇ!I474</f>
        <v>49782.240000000005</v>
      </c>
      <c r="AB60" s="1093">
        <f>SUM(C60:Z60)</f>
        <v>1</v>
      </c>
      <c r="AC60" s="219"/>
    </row>
    <row r="61" spans="1:29" x14ac:dyDescent="0.35">
      <c r="A61" s="1587"/>
      <c r="B61" s="1588"/>
      <c r="C61" s="226"/>
      <c r="D61" s="227"/>
      <c r="E61" s="226"/>
      <c r="F61" s="227"/>
      <c r="G61" s="226"/>
      <c r="H61" s="227"/>
      <c r="I61" s="226"/>
      <c r="J61" s="227"/>
      <c r="K61" s="226"/>
      <c r="L61" s="227"/>
      <c r="M61" s="226"/>
      <c r="N61" s="227"/>
      <c r="O61" s="226"/>
      <c r="P61" s="227"/>
      <c r="Q61" s="226"/>
      <c r="R61" s="227"/>
      <c r="S61" s="226"/>
      <c r="T61" s="227"/>
      <c r="U61" s="1565"/>
      <c r="V61" s="1566"/>
      <c r="W61" s="1565"/>
      <c r="X61" s="1566"/>
      <c r="Y61" s="1576"/>
      <c r="Z61" s="1577"/>
      <c r="AA61" s="1585"/>
      <c r="AB61" s="1094"/>
      <c r="AC61" s="219"/>
    </row>
    <row r="62" spans="1:29" x14ac:dyDescent="0.35">
      <c r="A62" s="1587"/>
      <c r="B62" s="1589"/>
      <c r="C62" s="1095"/>
      <c r="D62" s="1099"/>
      <c r="E62" s="1095"/>
      <c r="F62" s="1099"/>
      <c r="G62" s="1095"/>
      <c r="H62" s="1099"/>
      <c r="I62" s="1095"/>
      <c r="J62" s="1099"/>
      <c r="K62" s="1095"/>
      <c r="L62" s="1099"/>
      <c r="M62" s="1095"/>
      <c r="N62" s="1099"/>
      <c r="O62" s="1095"/>
      <c r="P62" s="1099"/>
      <c r="Q62" s="1095"/>
      <c r="R62" s="1099"/>
      <c r="S62" s="1095"/>
      <c r="T62" s="1099"/>
      <c r="U62" s="1573">
        <f>U60*$AA$60</f>
        <v>24891.120000000003</v>
      </c>
      <c r="V62" s="1574"/>
      <c r="W62" s="1573">
        <f>W60*$AA$60</f>
        <v>24891.120000000003</v>
      </c>
      <c r="X62" s="1574"/>
      <c r="Y62" s="1578"/>
      <c r="Z62" s="1579"/>
      <c r="AA62" s="1586"/>
      <c r="AB62" s="1096">
        <f>SUM(C62:Z62)</f>
        <v>49782.240000000005</v>
      </c>
      <c r="AC62" s="219"/>
    </row>
    <row r="63" spans="1:29" x14ac:dyDescent="0.35">
      <c r="A63" s="1587">
        <f>ORÇ!A476</f>
        <v>20</v>
      </c>
      <c r="B63" s="1588" t="str">
        <f>ORÇ!D476</f>
        <v>Fachadas</v>
      </c>
      <c r="C63" s="238"/>
      <c r="D63" s="239"/>
      <c r="E63" s="238"/>
      <c r="F63" s="239"/>
      <c r="G63" s="238"/>
      <c r="H63" s="239"/>
      <c r="I63" s="238"/>
      <c r="J63" s="239"/>
      <c r="K63" s="238"/>
      <c r="L63" s="239"/>
      <c r="M63" s="238"/>
      <c r="N63" s="239"/>
      <c r="O63" s="238"/>
      <c r="P63" s="239"/>
      <c r="Q63" s="238"/>
      <c r="R63" s="239"/>
      <c r="S63" s="1563">
        <v>1</v>
      </c>
      <c r="T63" s="1564"/>
      <c r="U63" s="238"/>
      <c r="V63" s="239"/>
      <c r="W63" s="238"/>
      <c r="X63" s="239"/>
      <c r="Y63" s="1606"/>
      <c r="Z63" s="1607"/>
      <c r="AA63" s="1585">
        <f>ORÇ!I483</f>
        <v>70640.92</v>
      </c>
      <c r="AB63" s="1093">
        <f>SUM(C63:Z63)</f>
        <v>1</v>
      </c>
      <c r="AC63" s="219"/>
    </row>
    <row r="64" spans="1:29" x14ac:dyDescent="0.35">
      <c r="A64" s="1587"/>
      <c r="B64" s="1588"/>
      <c r="C64" s="226"/>
      <c r="D64" s="227"/>
      <c r="E64" s="226"/>
      <c r="F64" s="227"/>
      <c r="G64" s="226"/>
      <c r="H64" s="227"/>
      <c r="I64" s="226"/>
      <c r="J64" s="227"/>
      <c r="K64" s="226"/>
      <c r="L64" s="227"/>
      <c r="M64" s="226"/>
      <c r="N64" s="227"/>
      <c r="O64" s="226"/>
      <c r="P64" s="227"/>
      <c r="Q64" s="226"/>
      <c r="R64" s="227"/>
      <c r="S64" s="1565"/>
      <c r="T64" s="1566"/>
      <c r="U64" s="226"/>
      <c r="V64" s="227"/>
      <c r="W64" s="226"/>
      <c r="X64" s="227"/>
      <c r="Y64" s="1576"/>
      <c r="Z64" s="1577"/>
      <c r="AA64" s="1585"/>
      <c r="AB64" s="1094"/>
      <c r="AC64" s="219"/>
    </row>
    <row r="65" spans="1:29" x14ac:dyDescent="0.35">
      <c r="A65" s="1587"/>
      <c r="B65" s="1589"/>
      <c r="C65" s="1095"/>
      <c r="D65" s="1099"/>
      <c r="E65" s="1095"/>
      <c r="F65" s="1099"/>
      <c r="G65" s="1095"/>
      <c r="H65" s="1099"/>
      <c r="I65" s="1095"/>
      <c r="J65" s="1099"/>
      <c r="K65" s="1095"/>
      <c r="L65" s="1099"/>
      <c r="M65" s="1095"/>
      <c r="N65" s="1099"/>
      <c r="O65" s="1095"/>
      <c r="P65" s="1099"/>
      <c r="Q65" s="1095"/>
      <c r="R65" s="1099"/>
      <c r="S65" s="1575">
        <f>S63*$AA$63</f>
        <v>70640.92</v>
      </c>
      <c r="T65" s="1574"/>
      <c r="U65" s="1095"/>
      <c r="V65" s="1099"/>
      <c r="W65" s="1095"/>
      <c r="X65" s="1099"/>
      <c r="Y65" s="1580"/>
      <c r="Z65" s="1579"/>
      <c r="AA65" s="1586"/>
      <c r="AB65" s="1096">
        <f>SUM(C65:Z65)</f>
        <v>70640.92</v>
      </c>
      <c r="AC65" s="219"/>
    </row>
    <row r="66" spans="1:29" x14ac:dyDescent="0.35">
      <c r="A66" s="1587">
        <f>ORÇ!A485</f>
        <v>21</v>
      </c>
      <c r="B66" s="1588" t="str">
        <f>ORÇ!D485</f>
        <v>Serviços Finais</v>
      </c>
      <c r="C66" s="238"/>
      <c r="D66" s="239"/>
      <c r="E66" s="238"/>
      <c r="F66" s="239"/>
      <c r="G66" s="238"/>
      <c r="H66" s="239"/>
      <c r="I66" s="238"/>
      <c r="J66" s="239"/>
      <c r="K66" s="238"/>
      <c r="L66" s="239"/>
      <c r="M66" s="238"/>
      <c r="N66" s="239"/>
      <c r="O66" s="238"/>
      <c r="P66" s="239"/>
      <c r="Q66" s="238"/>
      <c r="R66" s="239"/>
      <c r="S66" s="238"/>
      <c r="T66" s="239"/>
      <c r="U66" s="238"/>
      <c r="V66" s="239"/>
      <c r="W66" s="238"/>
      <c r="X66" s="239"/>
      <c r="Y66" s="1563">
        <v>1</v>
      </c>
      <c r="Z66" s="1564"/>
      <c r="AA66" s="1585">
        <f>ORÇ!I487</f>
        <v>13027.08</v>
      </c>
      <c r="AB66" s="1093">
        <f>SUM(C66:Z66)</f>
        <v>1</v>
      </c>
      <c r="AC66" s="219"/>
    </row>
    <row r="67" spans="1:29" x14ac:dyDescent="0.35">
      <c r="A67" s="1587"/>
      <c r="B67" s="1588"/>
      <c r="C67" s="226"/>
      <c r="D67" s="227"/>
      <c r="E67" s="226"/>
      <c r="F67" s="227"/>
      <c r="G67" s="226"/>
      <c r="H67" s="227"/>
      <c r="I67" s="226"/>
      <c r="J67" s="227"/>
      <c r="K67" s="226"/>
      <c r="L67" s="227"/>
      <c r="M67" s="226"/>
      <c r="N67" s="227"/>
      <c r="O67" s="226"/>
      <c r="P67" s="227"/>
      <c r="Q67" s="226"/>
      <c r="R67" s="227"/>
      <c r="S67" s="226"/>
      <c r="T67" s="227"/>
      <c r="U67" s="226"/>
      <c r="V67" s="227"/>
      <c r="W67" s="226"/>
      <c r="X67" s="227"/>
      <c r="Y67" s="1565"/>
      <c r="Z67" s="1566"/>
      <c r="AA67" s="1585"/>
      <c r="AB67" s="1094"/>
      <c r="AC67" s="219"/>
    </row>
    <row r="68" spans="1:29" ht="24" thickBot="1" x14ac:dyDescent="0.4">
      <c r="A68" s="1587"/>
      <c r="B68" s="1589"/>
      <c r="C68" s="1095"/>
      <c r="D68" s="1099"/>
      <c r="E68" s="1095"/>
      <c r="F68" s="1099"/>
      <c r="G68" s="1095"/>
      <c r="H68" s="1099"/>
      <c r="I68" s="1095"/>
      <c r="J68" s="1099"/>
      <c r="K68" s="1095"/>
      <c r="L68" s="1099"/>
      <c r="M68" s="1095"/>
      <c r="N68" s="1099"/>
      <c r="O68" s="1095"/>
      <c r="P68" s="1099"/>
      <c r="Q68" s="1095"/>
      <c r="R68" s="1099"/>
      <c r="S68" s="1095"/>
      <c r="T68" s="1099"/>
      <c r="U68" s="1095"/>
      <c r="V68" s="1099"/>
      <c r="W68" s="1095"/>
      <c r="X68" s="1099"/>
      <c r="Y68" s="1575">
        <f>Y66*$AA$66</f>
        <v>13027.08</v>
      </c>
      <c r="Z68" s="1574"/>
      <c r="AA68" s="1586"/>
      <c r="AB68" s="1096">
        <f>SUM(C68:Z68)</f>
        <v>13027.08</v>
      </c>
      <c r="AC68" s="219"/>
    </row>
    <row r="69" spans="1:29" ht="24" thickBot="1" x14ac:dyDescent="0.4">
      <c r="A69" s="1608"/>
      <c r="B69" s="242" t="s">
        <v>66</v>
      </c>
      <c r="C69" s="243"/>
      <c r="D69" s="244"/>
      <c r="E69" s="243"/>
      <c r="F69" s="244"/>
      <c r="G69" s="243"/>
      <c r="H69" s="244"/>
      <c r="I69" s="245"/>
      <c r="J69" s="245"/>
      <c r="K69" s="243"/>
      <c r="L69" s="244"/>
      <c r="M69" s="1605"/>
      <c r="N69" s="1605"/>
      <c r="O69" s="243"/>
      <c r="P69" s="244"/>
      <c r="Q69" s="243"/>
      <c r="R69" s="244"/>
      <c r="S69" s="243"/>
      <c r="T69" s="244"/>
      <c r="U69" s="245"/>
      <c r="V69" s="245"/>
      <c r="W69" s="243"/>
      <c r="X69" s="244"/>
      <c r="Y69" s="1605"/>
      <c r="Z69" s="1605"/>
      <c r="AA69" s="246">
        <f>SUM(AA6:AA68)</f>
        <v>3729086.97</v>
      </c>
    </row>
    <row r="70" spans="1:29" ht="24" thickBot="1" x14ac:dyDescent="0.4">
      <c r="A70" s="1609"/>
      <c r="B70" s="300"/>
      <c r="C70" s="1583"/>
      <c r="D70" s="1583"/>
      <c r="E70" s="1583"/>
      <c r="F70" s="1583"/>
      <c r="G70" s="1583"/>
      <c r="H70" s="1583"/>
      <c r="I70" s="241"/>
      <c r="J70" s="241"/>
      <c r="K70" s="301"/>
      <c r="L70" s="302"/>
      <c r="M70" s="1603"/>
      <c r="N70" s="1603"/>
      <c r="O70" s="1583"/>
      <c r="P70" s="1583"/>
      <c r="Q70" s="1583"/>
      <c r="R70" s="1583"/>
      <c r="S70" s="1583"/>
      <c r="T70" s="1583"/>
      <c r="U70" s="241"/>
      <c r="V70" s="241"/>
      <c r="W70" s="301"/>
      <c r="X70" s="302"/>
      <c r="Y70" s="1603"/>
      <c r="Z70" s="1603"/>
      <c r="AA70" s="303"/>
    </row>
    <row r="71" spans="1:29" ht="24" thickBot="1" x14ac:dyDescent="0.4">
      <c r="A71" s="305"/>
      <c r="B71" s="306" t="s">
        <v>62</v>
      </c>
      <c r="C71" s="1582">
        <f>SUM(C8,C11,C14,C17,C20,C23,C26,C29:D29,C32:D32,C35:D35,C38:D38,C41:D41,C44:D44,C47:D47,C50:D50,C53:D53,C56:D56,C59:D59,C62:D62,C65:D65,C68:D68)</f>
        <v>309616.39613485336</v>
      </c>
      <c r="D71" s="1582"/>
      <c r="E71" s="1582">
        <f t="shared" ref="E71" si="14">SUM(E8,E11,E14,E17,E20,E23,E26,E29:F29,E32:F32,E35:F35,E38:F38,E41:F41,E44:F44,E47:F47,E50:F50,E53:F53,E56:F56,E59:F59,E62:F62,E65:F65,E68:F68)</f>
        <v>323730.25083224993</v>
      </c>
      <c r="F71" s="1582"/>
      <c r="G71" s="1582">
        <f>SUM(G8,G11,G14,G17,G20,G23,G26,G29:H29,G32:H32,G35:H35,G38:H38,G41:H41,G44:H44,G47:H47,G50:H50,G53:H53,G56:H56,G59:H59,G62:H62,G65:H65,G68:H68)</f>
        <v>344193.46111858275</v>
      </c>
      <c r="H71" s="1582"/>
      <c r="I71" s="1582">
        <f>SUM(I8,I11:J11,I14,I17:J17,I20:J20,I23,I26,I29:J29,I32:J32,I35:J35,I38:J38,I41:J41,I44:J44,I47:J47,I50:J50,I53:J53,I56:J56,I59:J59,I62:J62,I65:J65,I68:J68)</f>
        <v>346753.00828976627</v>
      </c>
      <c r="J71" s="1582"/>
      <c r="K71" s="1582">
        <f>SUM(K8,K11:L11,K14,K17:L17,K20:L20,K23,K26,K29:L29,K32:L32,K35:L35,K38:L38,K41:L41,K44:L44,K47:L47,K50:L50,K53:L53,K56:L56,K59:L59,K62:L62,K65:L65,K68:L68)</f>
        <v>349885.89623641397</v>
      </c>
      <c r="L71" s="1582"/>
      <c r="M71" s="1582">
        <f>SUM(M8,M11:N11,M14,M17:N17,M20:N20,M23,M26,M29:N29,M32:N32,M35:N35,M38:N38,M41:N41,M44:N44,M47:N47,M50:N50,M53:N53,M56:N56,M59:N59,M62:N62,M65:N65,M68:N68)</f>
        <v>342318.93903880258</v>
      </c>
      <c r="N71" s="1582"/>
      <c r="O71" s="1582">
        <f>SUM(O8,O11:P11,O14,O17:P17,O20:P20,O23,O26,O29:P29,O32:P32,O35:P35,O38:P38,O41:P41,O44:P44,O47:P47,O50:P50,O53:P53,O56:P56,O59:P59,O62:P62,O65:P65,O68:P68)</f>
        <v>302943.47899107734</v>
      </c>
      <c r="P71" s="1582"/>
      <c r="Q71" s="1582">
        <f>SUM(Q8,Q11:R11,Q14,Q17:R17,Q20:R20,Q23,Q26,Q29:R29,Q32:R32,Q35:R35,Q38:R38,Q41:R41,Q44:R44,Q47:R47,Q50:R50,Q53:R53,Q56:R56,Q59:R59,Q62:R62,Q65:R65,Q68:R68)</f>
        <v>287777.24909712787</v>
      </c>
      <c r="R71" s="1582"/>
      <c r="S71" s="1582">
        <f>SUM(S8,S11:T11,S14,S17:T17,S20:T20,S23,S26,S29:T29,S32:T32,S35:T35,S38:T38,S41:T41,S44:T44,S47:T47,S50:T50,S53:T53,S56:T56,S59:T59,S62:T62,S65:T65,S68:T68)</f>
        <v>259180.7666106816</v>
      </c>
      <c r="T71" s="1582"/>
      <c r="U71" s="1582">
        <f>SUM(U8,U11:V11,U14,U17:V17,U20:V20,U23,U26,U29:V29,U32:V32,U35:V35,U38:V38,U41:V41,U44:V44,U47:V47,U50:V50,U53:V53,U56:V56,U59:V59,U62:V62,U65:V65,U68:V68)</f>
        <v>290589.19932727917</v>
      </c>
      <c r="V71" s="1582"/>
      <c r="W71" s="1582">
        <f>SUM(W8,W11:X11,W14,W17:X17,W20:X20,W23,W26,W29:X29,W32:X32,W35:X35,W38:X38,W41:X41,W44:X44,W47:X47,W50:X50,W53:X53,W56:X56,W59:X59,W62:X62,W65:X65,W68:X68)</f>
        <v>296038.82444481575</v>
      </c>
      <c r="X71" s="1582"/>
      <c r="Y71" s="1582">
        <f t="shared" ref="Y71" si="15">SUM(Y8,Y11:Z11,Y14,Y17:Z17,Y20:Z20,Y23,Y26,Y29:Z29,Y32:Z32,Y35:Z35,Y38:Z38,Y41:Z41,Y44:Z44,Y47:Z47,Y50:Z50,Y53:Z53,Y56:Z56,Y59:Z59,Y62:Z62,Y65:Z65,Y68:Z68)</f>
        <v>276059.49987834954</v>
      </c>
      <c r="Z71" s="1582"/>
      <c r="AA71" s="307">
        <f>SUM(AA69)</f>
        <v>3729086.97</v>
      </c>
    </row>
    <row r="72" spans="1:29" ht="24" thickBot="1" x14ac:dyDescent="0.4">
      <c r="A72" s="308"/>
      <c r="B72" s="309" t="s">
        <v>63</v>
      </c>
      <c r="C72" s="1584">
        <f>C71/$AA$71</f>
        <v>8.3027400172126675E-2</v>
      </c>
      <c r="D72" s="1584"/>
      <c r="E72" s="1599">
        <f>E71/AA71</f>
        <v>8.6812201870488936E-2</v>
      </c>
      <c r="F72" s="1600"/>
      <c r="G72" s="1599">
        <f>G71/AA71</f>
        <v>9.2299660449748841E-2</v>
      </c>
      <c r="H72" s="1600"/>
      <c r="I72" s="1599">
        <f>I71/AA71</f>
        <v>9.2986034136330761E-2</v>
      </c>
      <c r="J72" s="1600"/>
      <c r="K72" s="1599">
        <f>K71/AA71</f>
        <v>9.3826156121109172E-2</v>
      </c>
      <c r="L72" s="1600"/>
      <c r="M72" s="1599">
        <f>M71/AA71</f>
        <v>9.1796984568263518E-2</v>
      </c>
      <c r="N72" s="1600"/>
      <c r="O72" s="1599">
        <f>O71/$AA$71</f>
        <v>8.1237976327239517E-2</v>
      </c>
      <c r="P72" s="1600"/>
      <c r="Q72" s="1599">
        <f>Q71/$AA$71</f>
        <v>7.7170967427752923E-2</v>
      </c>
      <c r="R72" s="1600"/>
      <c r="S72" s="1599">
        <f>S71/$AA$71</f>
        <v>6.9502473043872609E-2</v>
      </c>
      <c r="T72" s="1600"/>
      <c r="U72" s="1599">
        <f>U71/$AA$71</f>
        <v>7.7925026062687711E-2</v>
      </c>
      <c r="V72" s="1600"/>
      <c r="W72" s="1599">
        <f>W71/$AA$71</f>
        <v>7.9386409280987016E-2</v>
      </c>
      <c r="X72" s="1600"/>
      <c r="Y72" s="1599">
        <f>Y71/$AA$71</f>
        <v>7.4028710539392306E-2</v>
      </c>
      <c r="Z72" s="1600"/>
      <c r="AA72" s="304"/>
    </row>
    <row r="73" spans="1:29" ht="24" thickBot="1" x14ac:dyDescent="0.4">
      <c r="A73" s="312"/>
      <c r="B73" s="306" t="s">
        <v>64</v>
      </c>
      <c r="C73" s="1582">
        <f>C71</f>
        <v>309616.39613485336</v>
      </c>
      <c r="D73" s="1582"/>
      <c r="E73" s="1601">
        <f>C73+E71</f>
        <v>633346.64696710324</v>
      </c>
      <c r="F73" s="1602"/>
      <c r="G73" s="1601">
        <f t="shared" ref="G73" si="16">E73+G71</f>
        <v>977540.10808568599</v>
      </c>
      <c r="H73" s="1602"/>
      <c r="I73" s="1601">
        <f t="shared" ref="I73" si="17">G73+I71</f>
        <v>1324293.1163754524</v>
      </c>
      <c r="J73" s="1602"/>
      <c r="K73" s="1601">
        <f t="shared" ref="K73" si="18">I73+K71</f>
        <v>1674179.0126118665</v>
      </c>
      <c r="L73" s="1602"/>
      <c r="M73" s="1601">
        <f t="shared" ref="M73" si="19">K73+M71</f>
        <v>2016497.9516506691</v>
      </c>
      <c r="N73" s="1602"/>
      <c r="O73" s="1601">
        <f t="shared" ref="O73" si="20">M73+O71</f>
        <v>2319441.4306417466</v>
      </c>
      <c r="P73" s="1602"/>
      <c r="Q73" s="1601">
        <f t="shared" ref="Q73" si="21">O73+Q71</f>
        <v>2607218.6797388745</v>
      </c>
      <c r="R73" s="1602"/>
      <c r="S73" s="1601">
        <f t="shared" ref="S73" si="22">Q73+S71</f>
        <v>2866399.4463495561</v>
      </c>
      <c r="T73" s="1602"/>
      <c r="U73" s="1601">
        <f t="shared" ref="U73" si="23">S73+U71</f>
        <v>3156988.6456768354</v>
      </c>
      <c r="V73" s="1602"/>
      <c r="W73" s="1601">
        <f>U73+W71</f>
        <v>3453027.470121651</v>
      </c>
      <c r="X73" s="1602"/>
      <c r="Y73" s="1601">
        <f>W73+Y71</f>
        <v>3729086.9700000007</v>
      </c>
      <c r="Z73" s="1602"/>
      <c r="AA73" s="247"/>
    </row>
    <row r="74" spans="1:29" ht="24" thickBot="1" x14ac:dyDescent="0.4">
      <c r="A74" s="310"/>
      <c r="B74" s="311" t="s">
        <v>65</v>
      </c>
      <c r="C74" s="1584">
        <f>C73/$AA$71</f>
        <v>8.3027400172126675E-2</v>
      </c>
      <c r="D74" s="1584"/>
      <c r="E74" s="1584">
        <f t="shared" ref="E74" si="24">E73/$AA$71</f>
        <v>0.16983960204261558</v>
      </c>
      <c r="F74" s="1584"/>
      <c r="G74" s="1584">
        <f t="shared" ref="G74" si="25">G73/$AA$71</f>
        <v>0.26213926249236441</v>
      </c>
      <c r="H74" s="1584"/>
      <c r="I74" s="1584">
        <f t="shared" ref="I74" si="26">I73/$AA$71</f>
        <v>0.35512529662869524</v>
      </c>
      <c r="J74" s="1584"/>
      <c r="K74" s="1584">
        <f t="shared" ref="K74" si="27">K73/$AA$71</f>
        <v>0.44895145274980441</v>
      </c>
      <c r="L74" s="1584"/>
      <c r="M74" s="1584">
        <f t="shared" ref="M74" si="28">M73/$AA$71</f>
        <v>0.54074843731806799</v>
      </c>
      <c r="N74" s="1584"/>
      <c r="O74" s="1584">
        <f t="shared" ref="O74" si="29">O73/$AA$71</f>
        <v>0.62198641364530749</v>
      </c>
      <c r="P74" s="1584"/>
      <c r="Q74" s="1584">
        <f t="shared" ref="Q74" si="30">Q73/$AA$71</f>
        <v>0.69915738107306047</v>
      </c>
      <c r="R74" s="1584"/>
      <c r="S74" s="1584">
        <f t="shared" ref="S74" si="31">S73/$AA$71</f>
        <v>0.76865985411693305</v>
      </c>
      <c r="T74" s="1584"/>
      <c r="U74" s="1584">
        <f t="shared" ref="U74" si="32">U73/$AA$71</f>
        <v>0.84658488017962086</v>
      </c>
      <c r="V74" s="1584"/>
      <c r="W74" s="1584">
        <f t="shared" ref="W74" si="33">W73/$AA$71</f>
        <v>0.9259712894606078</v>
      </c>
      <c r="X74" s="1584"/>
      <c r="Y74" s="1584">
        <f t="shared" ref="Y74" si="34">Y73/$AA$71</f>
        <v>1.0000000000000002</v>
      </c>
      <c r="Z74" s="1584"/>
      <c r="AA74" s="247"/>
    </row>
    <row r="75" spans="1:29" ht="24" thickBot="1" x14ac:dyDescent="0.4"/>
    <row r="76" spans="1:29" ht="24" thickBot="1" x14ac:dyDescent="0.4">
      <c r="C76" s="1582" t="s">
        <v>1751</v>
      </c>
      <c r="D76" s="1582"/>
      <c r="E76" s="1582" t="s">
        <v>1752</v>
      </c>
      <c r="F76" s="1582"/>
      <c r="K76" s="1582" t="s">
        <v>1753</v>
      </c>
      <c r="L76" s="1582"/>
      <c r="S76" s="1582"/>
      <c r="T76" s="1582"/>
      <c r="U76" s="1582" t="s">
        <v>1754</v>
      </c>
      <c r="V76" s="1582"/>
      <c r="AA76" s="307">
        <f>AA71</f>
        <v>3729086.97</v>
      </c>
    </row>
    <row r="77" spans="1:29" ht="24" thickBot="1" x14ac:dyDescent="0.4">
      <c r="X77" s="156"/>
      <c r="Y77" s="1556">
        <f>Y74/12</f>
        <v>8.3333333333333356E-2</v>
      </c>
    </row>
    <row r="78" spans="1:29" ht="24" thickBot="1" x14ac:dyDescent="0.4">
      <c r="B78" s="1557" t="s">
        <v>1749</v>
      </c>
      <c r="C78" s="1582">
        <v>300000</v>
      </c>
      <c r="D78" s="1582"/>
      <c r="E78" s="1582"/>
      <c r="F78" s="1582"/>
      <c r="AA78" s="307">
        <v>3150624.0870000003</v>
      </c>
      <c r="AB78" s="1092" t="s">
        <v>1747</v>
      </c>
      <c r="AC78" s="1555">
        <f>ROUND(AA78/$AA$76,4)</f>
        <v>0.84489999999999998</v>
      </c>
    </row>
    <row r="79" spans="1:29" ht="24" thickBot="1" x14ac:dyDescent="0.4">
      <c r="B79" s="1558"/>
    </row>
    <row r="80" spans="1:29" ht="24" thickBot="1" x14ac:dyDescent="0.4">
      <c r="B80" s="1557" t="s">
        <v>1750</v>
      </c>
      <c r="C80" s="1582">
        <f>B83-C78</f>
        <v>46530</v>
      </c>
      <c r="D80" s="1582"/>
      <c r="E80" s="1582"/>
      <c r="F80" s="1582"/>
      <c r="L80" s="20"/>
      <c r="X80" s="20"/>
      <c r="AA80" s="307">
        <f>AA76-AA78</f>
        <v>578462.88299999991</v>
      </c>
      <c r="AB80" s="1092" t="s">
        <v>1748</v>
      </c>
      <c r="AC80" s="1555">
        <f>ROUND(AA80/$AA$76,4)</f>
        <v>0.15509999999999999</v>
      </c>
    </row>
    <row r="82" spans="2:27" ht="24" thickBot="1" x14ac:dyDescent="0.4"/>
    <row r="83" spans="2:27" ht="24" thickBot="1" x14ac:dyDescent="0.4">
      <c r="B83">
        <f>ROUND(C78*(1+AC80),2)</f>
        <v>346530</v>
      </c>
      <c r="AA83" s="307"/>
    </row>
  </sheetData>
  <mergeCells count="471">
    <mergeCell ref="Y67:Z67"/>
    <mergeCell ref="Y68:Z68"/>
    <mergeCell ref="U61:V61"/>
    <mergeCell ref="U62:V62"/>
    <mergeCell ref="W60:X60"/>
    <mergeCell ref="W61:X61"/>
    <mergeCell ref="W62:X62"/>
    <mergeCell ref="Y63:Z63"/>
    <mergeCell ref="Y64:Z64"/>
    <mergeCell ref="Y65:Z65"/>
    <mergeCell ref="Y66:Z66"/>
    <mergeCell ref="Y60:Z60"/>
    <mergeCell ref="Y61:Z61"/>
    <mergeCell ref="Y62:Z62"/>
    <mergeCell ref="A2:B2"/>
    <mergeCell ref="C1:Z3"/>
    <mergeCell ref="AA4:AA5"/>
    <mergeCell ref="A9:A11"/>
    <mergeCell ref="B9:B11"/>
    <mergeCell ref="C9:D9"/>
    <mergeCell ref="E9:F9"/>
    <mergeCell ref="AA9:AA11"/>
    <mergeCell ref="C11:D11"/>
    <mergeCell ref="E11:F11"/>
    <mergeCell ref="G11:H11"/>
    <mergeCell ref="M11:N11"/>
    <mergeCell ref="O11:P11"/>
    <mergeCell ref="Q11:R11"/>
    <mergeCell ref="S11:T11"/>
    <mergeCell ref="Y11:Z11"/>
    <mergeCell ref="M10:N10"/>
    <mergeCell ref="O10:P10"/>
    <mergeCell ref="A4:A5"/>
    <mergeCell ref="B4:B5"/>
    <mergeCell ref="C4:D4"/>
    <mergeCell ref="E4:F4"/>
    <mergeCell ref="K4:L4"/>
    <mergeCell ref="M4:N4"/>
    <mergeCell ref="AA12:AA14"/>
    <mergeCell ref="G14:H14"/>
    <mergeCell ref="I14:J14"/>
    <mergeCell ref="K14:L14"/>
    <mergeCell ref="M14:N14"/>
    <mergeCell ref="U12:V12"/>
    <mergeCell ref="W12:X12"/>
    <mergeCell ref="Y12:Z12"/>
    <mergeCell ref="Y14:Z14"/>
    <mergeCell ref="G13:H13"/>
    <mergeCell ref="Y4:Z4"/>
    <mergeCell ref="O9:P9"/>
    <mergeCell ref="Q9:R9"/>
    <mergeCell ref="Q10:R10"/>
    <mergeCell ref="A12:A14"/>
    <mergeCell ref="B12:B14"/>
    <mergeCell ref="G12:H12"/>
    <mergeCell ref="I12:J12"/>
    <mergeCell ref="K12:L12"/>
    <mergeCell ref="O12:P12"/>
    <mergeCell ref="Q12:R12"/>
    <mergeCell ref="S12:T12"/>
    <mergeCell ref="O14:P14"/>
    <mergeCell ref="Q14:R14"/>
    <mergeCell ref="S14:T14"/>
    <mergeCell ref="M12:N12"/>
    <mergeCell ref="G4:H4"/>
    <mergeCell ref="I4:J4"/>
    <mergeCell ref="K6:L6"/>
    <mergeCell ref="K8:L8"/>
    <mergeCell ref="M6:N6"/>
    <mergeCell ref="O4:P4"/>
    <mergeCell ref="Q4:R4"/>
    <mergeCell ref="S4:T4"/>
    <mergeCell ref="A15:A17"/>
    <mergeCell ref="B15:B17"/>
    <mergeCell ref="K15:L15"/>
    <mergeCell ref="A21:A23"/>
    <mergeCell ref="B21:B23"/>
    <mergeCell ref="C21:D21"/>
    <mergeCell ref="E21:F21"/>
    <mergeCell ref="AA18:AA20"/>
    <mergeCell ref="C20:D20"/>
    <mergeCell ref="E20:F20"/>
    <mergeCell ref="G20:H20"/>
    <mergeCell ref="M20:N20"/>
    <mergeCell ref="A18:A20"/>
    <mergeCell ref="B18:B20"/>
    <mergeCell ref="C18:D18"/>
    <mergeCell ref="E18:F18"/>
    <mergeCell ref="G18:H18"/>
    <mergeCell ref="M21:N21"/>
    <mergeCell ref="AA21:AA23"/>
    <mergeCell ref="C23:D23"/>
    <mergeCell ref="M22:N22"/>
    <mergeCell ref="O22:P22"/>
    <mergeCell ref="K17:L17"/>
    <mergeCell ref="M17:N17"/>
    <mergeCell ref="A54:A56"/>
    <mergeCell ref="A42:A44"/>
    <mergeCell ref="B42:B44"/>
    <mergeCell ref="A45:A47"/>
    <mergeCell ref="B45:B47"/>
    <mergeCell ref="AA60:AA62"/>
    <mergeCell ref="AA57:AA59"/>
    <mergeCell ref="A60:A62"/>
    <mergeCell ref="B60:B62"/>
    <mergeCell ref="O46:P46"/>
    <mergeCell ref="O47:P47"/>
    <mergeCell ref="O45:P45"/>
    <mergeCell ref="Q45:R45"/>
    <mergeCell ref="Q46:R46"/>
    <mergeCell ref="Q47:R47"/>
    <mergeCell ref="U42:V42"/>
    <mergeCell ref="U43:V43"/>
    <mergeCell ref="U44:V44"/>
    <mergeCell ref="W51:X51"/>
    <mergeCell ref="W52:X52"/>
    <mergeCell ref="W53:X53"/>
    <mergeCell ref="U58:V58"/>
    <mergeCell ref="U59:V59"/>
    <mergeCell ref="W57:X57"/>
    <mergeCell ref="A69:A70"/>
    <mergeCell ref="M69:N69"/>
    <mergeCell ref="C70:D70"/>
    <mergeCell ref="E70:F70"/>
    <mergeCell ref="G70:H70"/>
    <mergeCell ref="M70:N70"/>
    <mergeCell ref="K71:L71"/>
    <mergeCell ref="E71:F71"/>
    <mergeCell ref="G71:H71"/>
    <mergeCell ref="M71:N71"/>
    <mergeCell ref="M74:N74"/>
    <mergeCell ref="C73:D73"/>
    <mergeCell ref="E73:F73"/>
    <mergeCell ref="G73:H73"/>
    <mergeCell ref="I73:J73"/>
    <mergeCell ref="K73:L73"/>
    <mergeCell ref="M73:N73"/>
    <mergeCell ref="M72:N72"/>
    <mergeCell ref="C71:D71"/>
    <mergeCell ref="I71:J71"/>
    <mergeCell ref="C72:D72"/>
    <mergeCell ref="E72:F72"/>
    <mergeCell ref="G72:H72"/>
    <mergeCell ref="I72:J72"/>
    <mergeCell ref="K72:L72"/>
    <mergeCell ref="AA36:AA38"/>
    <mergeCell ref="B51:B53"/>
    <mergeCell ref="AA51:AA53"/>
    <mergeCell ref="B54:B56"/>
    <mergeCell ref="A27:A29"/>
    <mergeCell ref="A30:A32"/>
    <mergeCell ref="A33:A35"/>
    <mergeCell ref="A36:A38"/>
    <mergeCell ref="B36:B38"/>
    <mergeCell ref="B33:B35"/>
    <mergeCell ref="B30:B32"/>
    <mergeCell ref="B27:B29"/>
    <mergeCell ref="AA45:AA47"/>
    <mergeCell ref="A48:A50"/>
    <mergeCell ref="B48:B50"/>
    <mergeCell ref="AA48:AA50"/>
    <mergeCell ref="W35:X35"/>
    <mergeCell ref="Y33:Z33"/>
    <mergeCell ref="Y34:Z34"/>
    <mergeCell ref="Y35:Z35"/>
    <mergeCell ref="O42:P42"/>
    <mergeCell ref="O43:P43"/>
    <mergeCell ref="O44:P44"/>
    <mergeCell ref="AA30:AA32"/>
    <mergeCell ref="U4:V4"/>
    <mergeCell ref="W4:X4"/>
    <mergeCell ref="O13:P13"/>
    <mergeCell ref="Q13:R13"/>
    <mergeCell ref="S13:T13"/>
    <mergeCell ref="U13:V13"/>
    <mergeCell ref="U14:V14"/>
    <mergeCell ref="W14:X14"/>
    <mergeCell ref="Y69:Z69"/>
    <mergeCell ref="W34:X34"/>
    <mergeCell ref="O17:P17"/>
    <mergeCell ref="Q17:R17"/>
    <mergeCell ref="S17:T17"/>
    <mergeCell ref="U17:V17"/>
    <mergeCell ref="W17:X17"/>
    <mergeCell ref="W18:X18"/>
    <mergeCell ref="W33:X33"/>
    <mergeCell ref="Y54:Z54"/>
    <mergeCell ref="Y56:Z56"/>
    <mergeCell ref="S44:T44"/>
    <mergeCell ref="U24:V24"/>
    <mergeCell ref="W24:X24"/>
    <mergeCell ref="U52:V52"/>
    <mergeCell ref="U53:V53"/>
    <mergeCell ref="Y70:Z70"/>
    <mergeCell ref="U71:V71"/>
    <mergeCell ref="O21:P21"/>
    <mergeCell ref="Q21:R21"/>
    <mergeCell ref="S21:T21"/>
    <mergeCell ref="U21:V21"/>
    <mergeCell ref="W21:X21"/>
    <mergeCell ref="Y21:Z21"/>
    <mergeCell ref="O23:P23"/>
    <mergeCell ref="Q23:R23"/>
    <mergeCell ref="S23:T23"/>
    <mergeCell ref="U23:V23"/>
    <mergeCell ref="W23:X23"/>
    <mergeCell ref="Y23:Z23"/>
    <mergeCell ref="U22:V22"/>
    <mergeCell ref="W22:X22"/>
    <mergeCell ref="Y22:Z22"/>
    <mergeCell ref="Y71:Z71"/>
    <mergeCell ref="U39:V39"/>
    <mergeCell ref="U40:V40"/>
    <mergeCell ref="W71:X71"/>
    <mergeCell ref="W48:X48"/>
    <mergeCell ref="W49:X49"/>
    <mergeCell ref="W50:X50"/>
    <mergeCell ref="Q74:R74"/>
    <mergeCell ref="S74:T74"/>
    <mergeCell ref="U74:V74"/>
    <mergeCell ref="W74:X74"/>
    <mergeCell ref="Y74:Z74"/>
    <mergeCell ref="O72:P72"/>
    <mergeCell ref="Q72:R72"/>
    <mergeCell ref="S72:T72"/>
    <mergeCell ref="U72:V72"/>
    <mergeCell ref="W72:X72"/>
    <mergeCell ref="Y72:Z72"/>
    <mergeCell ref="O73:P73"/>
    <mergeCell ref="Q73:R73"/>
    <mergeCell ref="S73:T73"/>
    <mergeCell ref="U73:V73"/>
    <mergeCell ref="W73:X73"/>
    <mergeCell ref="Y73:Z73"/>
    <mergeCell ref="O74:P74"/>
    <mergeCell ref="A6:A8"/>
    <mergeCell ref="B6:B8"/>
    <mergeCell ref="C6:D6"/>
    <mergeCell ref="E6:F6"/>
    <mergeCell ref="O6:P6"/>
    <mergeCell ref="Q6:R6"/>
    <mergeCell ref="O18:P18"/>
    <mergeCell ref="O19:P19"/>
    <mergeCell ref="M48:N48"/>
    <mergeCell ref="Q25:R25"/>
    <mergeCell ref="O36:P36"/>
    <mergeCell ref="O37:P37"/>
    <mergeCell ref="O38:P38"/>
    <mergeCell ref="Q36:R36"/>
    <mergeCell ref="Q37:R37"/>
    <mergeCell ref="Q38:R38"/>
    <mergeCell ref="E23:F23"/>
    <mergeCell ref="Q42:R42"/>
    <mergeCell ref="Q43:R43"/>
    <mergeCell ref="Q44:R44"/>
    <mergeCell ref="A24:A26"/>
    <mergeCell ref="B24:B26"/>
    <mergeCell ref="E24:F24"/>
    <mergeCell ref="Q39:R39"/>
    <mergeCell ref="C8:D8"/>
    <mergeCell ref="E8:F8"/>
    <mergeCell ref="G8:H8"/>
    <mergeCell ref="M8:N8"/>
    <mergeCell ref="O8:P8"/>
    <mergeCell ref="Q8:R8"/>
    <mergeCell ref="S8:T8"/>
    <mergeCell ref="Y8:Z8"/>
    <mergeCell ref="S6:T6"/>
    <mergeCell ref="U6:V6"/>
    <mergeCell ref="U8:V8"/>
    <mergeCell ref="W6:X6"/>
    <mergeCell ref="W8:X8"/>
    <mergeCell ref="Y6:Z6"/>
    <mergeCell ref="G6:H6"/>
    <mergeCell ref="I6:J6"/>
    <mergeCell ref="I8:J8"/>
    <mergeCell ref="AA6:AA8"/>
    <mergeCell ref="Y19:Z19"/>
    <mergeCell ref="Y17:Z17"/>
    <mergeCell ref="AA33:AA35"/>
    <mergeCell ref="AA15:AA17"/>
    <mergeCell ref="Q15:R15"/>
    <mergeCell ref="Q16:R16"/>
    <mergeCell ref="S16:T16"/>
    <mergeCell ref="U16:V16"/>
    <mergeCell ref="W16:X16"/>
    <mergeCell ref="S15:T15"/>
    <mergeCell ref="U15:V15"/>
    <mergeCell ref="W15:X15"/>
    <mergeCell ref="Y18:Z18"/>
    <mergeCell ref="W20:X20"/>
    <mergeCell ref="Y20:Z20"/>
    <mergeCell ref="S25:T25"/>
    <mergeCell ref="Q20:R20"/>
    <mergeCell ref="S20:T20"/>
    <mergeCell ref="AA24:AA26"/>
    <mergeCell ref="Y24:Z24"/>
    <mergeCell ref="W26:X26"/>
    <mergeCell ref="Y26:Z26"/>
    <mergeCell ref="AA27:AA29"/>
    <mergeCell ref="E10:F10"/>
    <mergeCell ref="C12:D12"/>
    <mergeCell ref="C14:D14"/>
    <mergeCell ref="W25:X25"/>
    <mergeCell ref="O20:P20"/>
    <mergeCell ref="M30:N30"/>
    <mergeCell ref="M31:N31"/>
    <mergeCell ref="W19:X19"/>
    <mergeCell ref="U37:V37"/>
    <mergeCell ref="M19:N19"/>
    <mergeCell ref="O30:P30"/>
    <mergeCell ref="O31:P31"/>
    <mergeCell ref="O32:P32"/>
    <mergeCell ref="M18:N18"/>
    <mergeCell ref="M24:N24"/>
    <mergeCell ref="M23:N23"/>
    <mergeCell ref="M32:N32"/>
    <mergeCell ref="C26:D26"/>
    <mergeCell ref="E26:F26"/>
    <mergeCell ref="M26:N26"/>
    <mergeCell ref="Q24:R24"/>
    <mergeCell ref="S24:T24"/>
    <mergeCell ref="M25:N25"/>
    <mergeCell ref="O26:P26"/>
    <mergeCell ref="AA66:AA68"/>
    <mergeCell ref="A39:A41"/>
    <mergeCell ref="B39:B41"/>
    <mergeCell ref="AA39:AA41"/>
    <mergeCell ref="AA63:AA65"/>
    <mergeCell ref="S57:T57"/>
    <mergeCell ref="S58:T58"/>
    <mergeCell ref="S59:T59"/>
    <mergeCell ref="U57:V57"/>
    <mergeCell ref="M49:N49"/>
    <mergeCell ref="M50:N50"/>
    <mergeCell ref="AA54:AA56"/>
    <mergeCell ref="AA42:AA44"/>
    <mergeCell ref="U41:V41"/>
    <mergeCell ref="S42:T42"/>
    <mergeCell ref="S43:T43"/>
    <mergeCell ref="S41:T41"/>
    <mergeCell ref="A66:A68"/>
    <mergeCell ref="B66:B68"/>
    <mergeCell ref="A63:A65"/>
    <mergeCell ref="B63:B65"/>
    <mergeCell ref="A57:A59"/>
    <mergeCell ref="B57:B59"/>
    <mergeCell ref="A51:A53"/>
    <mergeCell ref="K38:L38"/>
    <mergeCell ref="K39:L39"/>
    <mergeCell ref="K41:L41"/>
    <mergeCell ref="C78:D78"/>
    <mergeCell ref="C80:D80"/>
    <mergeCell ref="C15:D15"/>
    <mergeCell ref="C17:D17"/>
    <mergeCell ref="C76:D76"/>
    <mergeCell ref="E76:F76"/>
    <mergeCell ref="K76:L76"/>
    <mergeCell ref="K42:L42"/>
    <mergeCell ref="K44:L44"/>
    <mergeCell ref="K45:L45"/>
    <mergeCell ref="K47:L47"/>
    <mergeCell ref="I30:J30"/>
    <mergeCell ref="I31:J31"/>
    <mergeCell ref="I32:J32"/>
    <mergeCell ref="G21:H21"/>
    <mergeCell ref="G23:H23"/>
    <mergeCell ref="C74:D74"/>
    <mergeCell ref="E74:F74"/>
    <mergeCell ref="G74:H74"/>
    <mergeCell ref="I74:J74"/>
    <mergeCell ref="K74:L74"/>
    <mergeCell ref="E78:F78"/>
    <mergeCell ref="E80:F80"/>
    <mergeCell ref="E15:F15"/>
    <mergeCell ref="E17:F17"/>
    <mergeCell ref="G15:H15"/>
    <mergeCell ref="G17:H17"/>
    <mergeCell ref="I21:J21"/>
    <mergeCell ref="I23:J23"/>
    <mergeCell ref="G24:H24"/>
    <mergeCell ref="G26:H26"/>
    <mergeCell ref="G27:H27"/>
    <mergeCell ref="G29:H29"/>
    <mergeCell ref="I24:J24"/>
    <mergeCell ref="I26:J26"/>
    <mergeCell ref="I27:J27"/>
    <mergeCell ref="I29:J29"/>
    <mergeCell ref="W42:X42"/>
    <mergeCell ref="W43:X43"/>
    <mergeCell ref="W44:X44"/>
    <mergeCell ref="Y36:Z36"/>
    <mergeCell ref="Q26:R26"/>
    <mergeCell ref="S26:T26"/>
    <mergeCell ref="M46:N46"/>
    <mergeCell ref="M47:N47"/>
    <mergeCell ref="S76:T76"/>
    <mergeCell ref="U76:V76"/>
    <mergeCell ref="O71:P71"/>
    <mergeCell ref="Q71:R71"/>
    <mergeCell ref="S71:T71"/>
    <mergeCell ref="U51:V51"/>
    <mergeCell ref="S36:T36"/>
    <mergeCell ref="S37:T37"/>
    <mergeCell ref="U38:V38"/>
    <mergeCell ref="O39:P39"/>
    <mergeCell ref="O40:P40"/>
    <mergeCell ref="O41:P41"/>
    <mergeCell ref="O70:P70"/>
    <mergeCell ref="Q70:R70"/>
    <mergeCell ref="S70:T70"/>
    <mergeCell ref="S38:T38"/>
    <mergeCell ref="K18:L18"/>
    <mergeCell ref="K19:L19"/>
    <mergeCell ref="K20:L20"/>
    <mergeCell ref="K27:L27"/>
    <mergeCell ref="K29:L29"/>
    <mergeCell ref="K30:L30"/>
    <mergeCell ref="K32:L32"/>
    <mergeCell ref="W36:X36"/>
    <mergeCell ref="W37:X37"/>
    <mergeCell ref="K24:L24"/>
    <mergeCell ref="K26:L26"/>
    <mergeCell ref="K36:L36"/>
    <mergeCell ref="K21:L21"/>
    <mergeCell ref="K23:L23"/>
    <mergeCell ref="Q18:R18"/>
    <mergeCell ref="S18:T18"/>
    <mergeCell ref="U18:V18"/>
    <mergeCell ref="U20:V20"/>
    <mergeCell ref="U36:V36"/>
    <mergeCell ref="U26:V26"/>
    <mergeCell ref="Q22:R22"/>
    <mergeCell ref="S64:T64"/>
    <mergeCell ref="S65:T65"/>
    <mergeCell ref="Y37:Z37"/>
    <mergeCell ref="Y38:Z38"/>
    <mergeCell ref="Y39:Z39"/>
    <mergeCell ref="Y40:Z40"/>
    <mergeCell ref="Y41:Z41"/>
    <mergeCell ref="Y42:Z42"/>
    <mergeCell ref="Y43:Z43"/>
    <mergeCell ref="Y44:Z44"/>
    <mergeCell ref="Y45:Z45"/>
    <mergeCell ref="W58:X58"/>
    <mergeCell ref="W59:X59"/>
    <mergeCell ref="Y57:Z57"/>
    <mergeCell ref="Y58:Z58"/>
    <mergeCell ref="Y59:Z59"/>
    <mergeCell ref="U60:V60"/>
    <mergeCell ref="Y46:Z46"/>
    <mergeCell ref="Y47:Z47"/>
    <mergeCell ref="Y55:Z55"/>
    <mergeCell ref="W38:X38"/>
    <mergeCell ref="W39:X39"/>
    <mergeCell ref="W40:X40"/>
    <mergeCell ref="W41:X41"/>
    <mergeCell ref="U54:V54"/>
    <mergeCell ref="U55:V55"/>
    <mergeCell ref="U56:V56"/>
    <mergeCell ref="S63:T63"/>
    <mergeCell ref="M45:N45"/>
    <mergeCell ref="M27:N27"/>
    <mergeCell ref="M29:N29"/>
    <mergeCell ref="O24:P24"/>
    <mergeCell ref="M36:N36"/>
    <mergeCell ref="M38:N38"/>
    <mergeCell ref="Q40:R40"/>
    <mergeCell ref="Q41:R41"/>
    <mergeCell ref="S39:T39"/>
    <mergeCell ref="S40:T40"/>
  </mergeCells>
  <pageMargins left="0.511811024" right="0.511811024" top="0.78740157499999996" bottom="0.78740157499999996" header="0.31496062000000002" footer="0.31496062000000002"/>
  <pageSetup paperSize="9" scale="2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8"/>
  <sheetViews>
    <sheetView view="pageBreakPreview" topLeftCell="A7" zoomScaleNormal="100" zoomScaleSheetLayoutView="100" workbookViewId="0">
      <selection activeCell="G19" sqref="G19"/>
    </sheetView>
  </sheetViews>
  <sheetFormatPr defaultRowHeight="12.75" x14ac:dyDescent="0.2"/>
  <cols>
    <col min="1" max="1" width="15.7109375" customWidth="1"/>
    <col min="2" max="2" width="18.42578125" customWidth="1"/>
    <col min="3" max="3" width="14" customWidth="1"/>
    <col min="4" max="4" width="13" customWidth="1"/>
    <col min="5" max="5" width="16.85546875" customWidth="1"/>
    <col min="6" max="6" width="14.28515625" customWidth="1"/>
    <col min="7" max="7" width="10.140625" customWidth="1"/>
    <col min="8" max="8" width="13" customWidth="1"/>
    <col min="9" max="9" width="11.42578125" customWidth="1"/>
    <col min="10" max="10" width="10" customWidth="1"/>
    <col min="11" max="11" width="12.42578125" customWidth="1"/>
  </cols>
  <sheetData>
    <row r="1" spans="1:12" ht="72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2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2" ht="15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2" ht="15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2" ht="15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2" x14ac:dyDescent="0.2">
      <c r="A6" s="1694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2" ht="36" customHeight="1" x14ac:dyDescent="0.2">
      <c r="A7" s="1695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2" ht="13.5" thickBot="1" x14ac:dyDescent="0.25">
      <c r="A8" s="21"/>
      <c r="B8" s="22"/>
      <c r="C8" s="22"/>
      <c r="D8" s="22"/>
      <c r="E8" s="22"/>
      <c r="F8" s="22"/>
      <c r="G8" s="22"/>
      <c r="H8" s="22"/>
      <c r="I8" s="22"/>
      <c r="J8" s="22"/>
      <c r="K8" s="121"/>
      <c r="L8" s="121"/>
    </row>
    <row r="9" spans="1:12" ht="13.5" thickBot="1" x14ac:dyDescent="0.25">
      <c r="A9" s="1865" t="s">
        <v>951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  <c r="L9" s="121"/>
    </row>
    <row r="10" spans="1:12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  <c r="L10" s="121"/>
    </row>
    <row r="11" spans="1:12" ht="13.5" thickBot="1" x14ac:dyDescent="0.25">
      <c r="A11" s="1865" t="str">
        <f>ORÇ!D50</f>
        <v>Cobertura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  <c r="L11" s="121"/>
    </row>
    <row r="12" spans="1:12" x14ac:dyDescent="0.2">
      <c r="A12" s="417"/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348"/>
    </row>
    <row r="13" spans="1:12" x14ac:dyDescent="0.2">
      <c r="A13" s="447">
        <f>ORÇ!A50</f>
        <v>5</v>
      </c>
      <c r="B13" s="42" t="str">
        <f>ORÇ!D50</f>
        <v>Cobertura</v>
      </c>
      <c r="C13" s="24"/>
      <c r="D13" s="44"/>
      <c r="E13" s="44"/>
      <c r="F13" s="44"/>
      <c r="G13" s="44"/>
      <c r="H13" s="45"/>
      <c r="I13" s="44"/>
      <c r="J13" s="44"/>
      <c r="K13" s="121"/>
      <c r="L13" s="121"/>
    </row>
    <row r="14" spans="1:12" ht="39.75" customHeight="1" x14ac:dyDescent="0.2">
      <c r="A14" s="448" t="str">
        <f>ORÇ!A51</f>
        <v>5.1</v>
      </c>
      <c r="B14" s="1874" t="str">
        <f>ORÇ!D51</f>
        <v>FABRICAÇÃO E INSTALAÇÃO DE PONTALETES DE MADEIRA NÃO APARELHADA PARA TELHADOS COM ATÉ 2 ÁGUAS E COM TELHA ONDULADA DE FIBROCIMENTO, ALUMÍNIO OU PLÁSTICA EM EDIFÍCIO RESIDENCIAL TÉRREO, INCLUSO TRANSPORTE VERTICAL. AF_07/2019</v>
      </c>
      <c r="C14" s="1874"/>
      <c r="D14" s="1874"/>
      <c r="E14" s="1874"/>
      <c r="F14" s="1874"/>
      <c r="G14" s="1874"/>
      <c r="H14" s="1874"/>
      <c r="I14" s="1874"/>
      <c r="J14" s="1874"/>
      <c r="K14" s="1874"/>
      <c r="L14" s="121"/>
    </row>
    <row r="15" spans="1:12" ht="13.5" thickBot="1" x14ac:dyDescent="0.25">
      <c r="A15" s="502"/>
      <c r="B15" s="497"/>
      <c r="C15" s="420"/>
      <c r="D15" s="420"/>
      <c r="E15" s="420"/>
      <c r="F15" s="420"/>
      <c r="G15" s="420"/>
      <c r="I15" s="499"/>
      <c r="J15" s="420"/>
      <c r="K15" s="497"/>
      <c r="L15" s="497"/>
    </row>
    <row r="16" spans="1:12" ht="17.25" customHeight="1" thickBot="1" x14ac:dyDescent="0.25">
      <c r="A16" s="567"/>
      <c r="B16" s="571" t="s">
        <v>332</v>
      </c>
      <c r="C16" s="572" t="s">
        <v>333</v>
      </c>
      <c r="D16" s="552"/>
      <c r="E16" s="1219"/>
      <c r="F16" s="1219"/>
      <c r="G16" s="552"/>
      <c r="H16" s="552"/>
      <c r="I16" s="552"/>
      <c r="J16" s="552"/>
      <c r="K16" s="552"/>
      <c r="L16" s="424"/>
    </row>
    <row r="17" spans="1:12" ht="17.25" customHeight="1" x14ac:dyDescent="0.2">
      <c r="A17" s="633"/>
      <c r="B17" s="771" t="s">
        <v>455</v>
      </c>
      <c r="C17" s="772">
        <v>67.61</v>
      </c>
      <c r="D17" s="631"/>
      <c r="E17" s="1219"/>
      <c r="F17" s="1219"/>
      <c r="G17" s="631"/>
      <c r="H17" s="631"/>
      <c r="I17" s="631"/>
      <c r="J17" s="631"/>
      <c r="K17" s="631"/>
      <c r="L17" s="424"/>
    </row>
    <row r="18" spans="1:12" ht="17.25" customHeight="1" x14ac:dyDescent="0.2">
      <c r="A18" s="633"/>
      <c r="B18" s="593" t="s">
        <v>456</v>
      </c>
      <c r="C18" s="594">
        <v>441.82</v>
      </c>
      <c r="D18" s="631"/>
      <c r="E18" s="631"/>
      <c r="F18" s="631"/>
      <c r="G18" s="631"/>
      <c r="H18" s="631"/>
      <c r="I18" s="631"/>
      <c r="J18" s="631"/>
      <c r="K18" s="631"/>
      <c r="L18" s="424"/>
    </row>
    <row r="19" spans="1:12" ht="17.25" customHeight="1" x14ac:dyDescent="0.2">
      <c r="A19" s="633"/>
      <c r="B19" s="593" t="s">
        <v>457</v>
      </c>
      <c r="C19" s="594">
        <v>266.20999999999998</v>
      </c>
      <c r="D19" s="631"/>
      <c r="E19" s="631"/>
      <c r="F19" s="631"/>
      <c r="G19" s="631"/>
      <c r="H19" s="631"/>
      <c r="I19" s="631"/>
      <c r="J19" s="631"/>
      <c r="K19" s="631"/>
      <c r="L19" s="424"/>
    </row>
    <row r="20" spans="1:12" ht="17.25" customHeight="1" x14ac:dyDescent="0.2">
      <c r="A20" s="633"/>
      <c r="B20" s="593" t="s">
        <v>458</v>
      </c>
      <c r="C20" s="594">
        <v>419.17</v>
      </c>
      <c r="D20" s="631"/>
      <c r="E20" s="631"/>
      <c r="F20" s="631"/>
      <c r="G20" s="631"/>
      <c r="H20" s="631"/>
      <c r="I20" s="631"/>
      <c r="J20" s="631"/>
      <c r="K20" s="631"/>
      <c r="L20" s="424"/>
    </row>
    <row r="21" spans="1:12" ht="17.25" customHeight="1" x14ac:dyDescent="0.2">
      <c r="A21" s="1303"/>
      <c r="B21" s="593" t="s">
        <v>459</v>
      </c>
      <c r="C21" s="594">
        <v>590.77</v>
      </c>
      <c r="D21" s="1293"/>
      <c r="E21" s="1293"/>
      <c r="F21" s="1293"/>
      <c r="G21" s="1293"/>
      <c r="H21" s="1293"/>
      <c r="I21" s="1293"/>
      <c r="J21" s="1293"/>
      <c r="K21" s="1293"/>
      <c r="L21" s="424"/>
    </row>
    <row r="22" spans="1:12" ht="17.25" customHeight="1" x14ac:dyDescent="0.2">
      <c r="A22" s="633"/>
      <c r="B22" s="593" t="s">
        <v>1341</v>
      </c>
      <c r="C22" s="594">
        <v>199.46</v>
      </c>
      <c r="D22" s="631"/>
      <c r="E22" s="631"/>
      <c r="F22" s="631"/>
      <c r="G22" s="631"/>
      <c r="H22" s="631"/>
      <c r="I22" s="631"/>
      <c r="J22" s="631"/>
      <c r="K22" s="631"/>
      <c r="L22" s="424"/>
    </row>
    <row r="23" spans="1:12" ht="17.25" customHeight="1" thickBot="1" x14ac:dyDescent="0.25">
      <c r="A23" s="1230"/>
      <c r="B23" s="759" t="s">
        <v>1264</v>
      </c>
      <c r="C23" s="486">
        <v>26.67</v>
      </c>
      <c r="D23" s="1212"/>
      <c r="E23" s="1212"/>
      <c r="F23" s="1212"/>
      <c r="G23" s="1212"/>
      <c r="H23" s="1212"/>
      <c r="I23" s="1212"/>
      <c r="J23" s="1212"/>
      <c r="K23" s="1212"/>
      <c r="L23" s="424"/>
    </row>
    <row r="24" spans="1:12" ht="12.75" customHeight="1" thickBot="1" x14ac:dyDescent="0.25">
      <c r="A24" s="567"/>
      <c r="B24" s="558"/>
      <c r="C24" s="558"/>
      <c r="D24" s="552"/>
      <c r="E24" s="552"/>
      <c r="F24" s="552"/>
      <c r="G24" s="552"/>
      <c r="H24" s="552"/>
      <c r="I24" s="552"/>
      <c r="J24" s="552"/>
      <c r="K24" s="552"/>
      <c r="L24" s="424"/>
    </row>
    <row r="25" spans="1:12" ht="13.5" thickBot="1" x14ac:dyDescent="0.25">
      <c r="A25" s="567"/>
      <c r="B25" s="511" t="s">
        <v>263</v>
      </c>
      <c r="C25" s="563">
        <f>SUM(C17:C23)</f>
        <v>2011.71</v>
      </c>
      <c r="D25" s="552"/>
      <c r="E25" s="552"/>
      <c r="F25" s="552"/>
      <c r="G25" s="552"/>
      <c r="H25" s="552"/>
      <c r="I25" s="552"/>
      <c r="J25" s="552"/>
      <c r="K25" s="552"/>
      <c r="L25" s="424"/>
    </row>
    <row r="26" spans="1:12" x14ac:dyDescent="0.2">
      <c r="A26" s="502"/>
      <c r="B26" s="497"/>
      <c r="C26" s="420"/>
      <c r="D26" s="420"/>
      <c r="E26" s="420"/>
      <c r="F26" s="420"/>
      <c r="G26" s="420"/>
      <c r="I26" s="499"/>
      <c r="J26" s="420"/>
      <c r="K26" s="497"/>
      <c r="L26" s="497"/>
    </row>
    <row r="27" spans="1:12" ht="30.75" customHeight="1" x14ac:dyDescent="0.2">
      <c r="A27" s="1230" t="str">
        <f>ORÇ!A52</f>
        <v>5.2</v>
      </c>
      <c r="B27" s="1874" t="str">
        <f>ORÇ!D52</f>
        <v>TRAMA DE MADEIRA COMPOSTA POR TERÇAS PARA TELHADOS DE ATÉ 2 ÁGUAS PARA TELHA ONDULADA DE FIBROCIMENTO, METÁLICA, PLÁSTICA OU TERMOACÚSTICA, INCLUSO TRANSPORTE VERTICAL. AF_07/2019</v>
      </c>
      <c r="C27" s="1874"/>
      <c r="D27" s="1874"/>
      <c r="E27" s="1874"/>
      <c r="F27" s="1874"/>
      <c r="G27" s="1874"/>
      <c r="H27" s="1874"/>
      <c r="I27" s="1874"/>
      <c r="J27" s="1874"/>
      <c r="K27" s="1874"/>
      <c r="L27" s="1213"/>
    </row>
    <row r="28" spans="1:12" ht="13.5" thickBot="1" x14ac:dyDescent="0.25">
      <c r="A28" s="1230"/>
      <c r="B28" s="1213"/>
      <c r="C28" s="1219"/>
      <c r="D28" s="1219"/>
      <c r="E28" s="1219"/>
      <c r="F28" s="1219"/>
      <c r="G28" s="1219"/>
      <c r="I28" s="1211"/>
      <c r="J28" s="1219"/>
      <c r="K28" s="1213"/>
      <c r="L28" s="1213"/>
    </row>
    <row r="29" spans="1:12" ht="13.5" thickBot="1" x14ac:dyDescent="0.25">
      <c r="A29" s="1230"/>
      <c r="B29" s="571" t="s">
        <v>332</v>
      </c>
      <c r="C29" s="572" t="s">
        <v>333</v>
      </c>
      <c r="D29" s="1219"/>
      <c r="E29" s="1219"/>
      <c r="F29" s="1219"/>
      <c r="G29" s="1219"/>
      <c r="I29" s="1211"/>
      <c r="J29" s="1219"/>
      <c r="K29" s="1213"/>
      <c r="L29" s="1213"/>
    </row>
    <row r="30" spans="1:12" x14ac:dyDescent="0.2">
      <c r="A30" s="1230"/>
      <c r="B30" s="771" t="str">
        <f>B17</f>
        <v>Cobertura 01</v>
      </c>
      <c r="C30" s="772">
        <f>C17</f>
        <v>67.61</v>
      </c>
      <c r="D30" s="1219"/>
      <c r="E30" s="1219"/>
      <c r="F30" s="1219"/>
      <c r="G30" s="1219"/>
      <c r="I30" s="1211"/>
      <c r="J30" s="1219"/>
      <c r="K30" s="1213"/>
      <c r="L30" s="1213"/>
    </row>
    <row r="31" spans="1:12" x14ac:dyDescent="0.2">
      <c r="A31" s="1230"/>
      <c r="B31" s="593" t="str">
        <f>B18</f>
        <v>Cobertura 02</v>
      </c>
      <c r="C31" s="594">
        <f>C18</f>
        <v>441.82</v>
      </c>
      <c r="D31" s="1219"/>
      <c r="E31" s="1219"/>
      <c r="F31" s="1219"/>
      <c r="G31" s="1219"/>
      <c r="I31" s="1211"/>
      <c r="J31" s="1219"/>
      <c r="K31" s="1213"/>
      <c r="L31" s="1213"/>
    </row>
    <row r="32" spans="1:12" x14ac:dyDescent="0.2">
      <c r="A32" s="1230"/>
      <c r="B32" s="593" t="str">
        <f t="shared" ref="B32:C32" si="0">B19</f>
        <v>Cobertura 03</v>
      </c>
      <c r="C32" s="594">
        <f t="shared" si="0"/>
        <v>266.20999999999998</v>
      </c>
      <c r="D32" s="1219"/>
      <c r="E32" s="1219"/>
      <c r="F32" s="1219"/>
      <c r="G32" s="1219"/>
      <c r="I32" s="1211"/>
      <c r="J32" s="1219"/>
      <c r="K32" s="1213"/>
      <c r="L32" s="1213"/>
    </row>
    <row r="33" spans="1:12" x14ac:dyDescent="0.2">
      <c r="A33" s="1230"/>
      <c r="B33" s="593" t="str">
        <f t="shared" ref="B33:C33" si="1">B20</f>
        <v>Cobertura 04</v>
      </c>
      <c r="C33" s="594">
        <f t="shared" si="1"/>
        <v>419.17</v>
      </c>
      <c r="D33" s="1219"/>
      <c r="E33" s="1219"/>
      <c r="F33" s="1219"/>
      <c r="G33" s="1219"/>
      <c r="I33" s="1211"/>
      <c r="J33" s="1219"/>
      <c r="K33" s="1213"/>
      <c r="L33" s="1213"/>
    </row>
    <row r="34" spans="1:12" x14ac:dyDescent="0.2">
      <c r="A34" s="1303"/>
      <c r="B34" s="593" t="str">
        <f t="shared" ref="B34:C34" si="2">B21</f>
        <v>Cobertura 05</v>
      </c>
      <c r="C34" s="594">
        <f t="shared" si="2"/>
        <v>590.77</v>
      </c>
      <c r="D34" s="1295"/>
      <c r="E34" s="1295"/>
      <c r="F34" s="1295"/>
      <c r="G34" s="1295"/>
      <c r="I34" s="1292"/>
      <c r="J34" s="1295"/>
      <c r="K34" s="1294"/>
      <c r="L34" s="1294"/>
    </row>
    <row r="35" spans="1:12" x14ac:dyDescent="0.2">
      <c r="A35" s="1230"/>
      <c r="B35" s="593" t="str">
        <f t="shared" ref="B35:C35" si="3">B22</f>
        <v>Cobertura 06</v>
      </c>
      <c r="C35" s="594">
        <f t="shared" si="3"/>
        <v>199.46</v>
      </c>
      <c r="D35" s="1219"/>
      <c r="E35" s="1219"/>
      <c r="F35" s="1219"/>
      <c r="G35" s="1219"/>
      <c r="I35" s="1211"/>
      <c r="J35" s="1219"/>
      <c r="K35" s="1213"/>
      <c r="L35" s="1213"/>
    </row>
    <row r="36" spans="1:12" ht="13.5" thickBot="1" x14ac:dyDescent="0.25">
      <c r="A36" s="1230"/>
      <c r="B36" s="759" t="s">
        <v>1264</v>
      </c>
      <c r="C36" s="486">
        <f>C23</f>
        <v>26.67</v>
      </c>
      <c r="D36" s="1219"/>
      <c r="E36" s="1219"/>
      <c r="F36" s="1219"/>
      <c r="G36" s="1219"/>
      <c r="I36" s="1211"/>
      <c r="J36" s="1219"/>
      <c r="K36" s="1213"/>
      <c r="L36" s="1213"/>
    </row>
    <row r="37" spans="1:12" ht="13.5" thickBot="1" x14ac:dyDescent="0.25">
      <c r="A37" s="1230"/>
      <c r="B37" s="1220"/>
      <c r="C37" s="1220"/>
      <c r="D37" s="1219"/>
      <c r="E37" s="1219"/>
      <c r="F37" s="1219"/>
      <c r="G37" s="1219"/>
      <c r="I37" s="1211"/>
      <c r="J37" s="1219"/>
      <c r="K37" s="1213"/>
      <c r="L37" s="1213"/>
    </row>
    <row r="38" spans="1:12" ht="13.5" thickBot="1" x14ac:dyDescent="0.25">
      <c r="A38" s="1230"/>
      <c r="B38" s="511" t="s">
        <v>263</v>
      </c>
      <c r="C38" s="1221">
        <f>SUM(C30:C36)</f>
        <v>2011.71</v>
      </c>
      <c r="D38" s="1219"/>
      <c r="E38" s="1219"/>
      <c r="F38" s="1219"/>
      <c r="G38" s="1219"/>
      <c r="I38" s="1211"/>
      <c r="J38" s="1219"/>
      <c r="K38" s="1213"/>
      <c r="L38" s="1213"/>
    </row>
    <row r="39" spans="1:12" x14ac:dyDescent="0.2">
      <c r="A39" s="1230"/>
      <c r="B39" s="1213"/>
      <c r="C39" s="1219"/>
      <c r="D39" s="1219"/>
      <c r="E39" s="1219"/>
      <c r="F39" s="1219"/>
      <c r="G39" s="1219"/>
      <c r="I39" s="1211"/>
      <c r="J39" s="1219"/>
      <c r="K39" s="1213"/>
      <c r="L39" s="1213"/>
    </row>
    <row r="40" spans="1:12" ht="29.25" customHeight="1" x14ac:dyDescent="0.2">
      <c r="A40" s="448" t="str">
        <f>ORÇ!A53</f>
        <v>5.3</v>
      </c>
      <c r="B40" s="1874" t="str">
        <f>ORÇ!D53</f>
        <v>Cobertura - telha em aço galvanizado e=0,5mm</v>
      </c>
      <c r="C40" s="1874"/>
      <c r="D40" s="1874"/>
      <c r="E40" s="1874"/>
      <c r="F40" s="1874"/>
      <c r="G40" s="1874"/>
      <c r="H40" s="1874"/>
      <c r="I40" s="1874"/>
      <c r="J40" s="1874"/>
      <c r="K40" s="1874"/>
      <c r="L40" s="122"/>
    </row>
    <row r="41" spans="1:12" ht="12.75" customHeight="1" thickBot="1" x14ac:dyDescent="0.25">
      <c r="A41" s="448"/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24"/>
    </row>
    <row r="42" spans="1:12" ht="17.25" customHeight="1" thickBot="1" x14ac:dyDescent="0.25">
      <c r="A42" s="448"/>
      <c r="B42" s="571" t="s">
        <v>332</v>
      </c>
      <c r="C42" s="572" t="s">
        <v>333</v>
      </c>
      <c r="D42" s="416"/>
      <c r="E42" s="416"/>
      <c r="F42" s="416"/>
      <c r="G42" s="416"/>
      <c r="H42" s="416"/>
      <c r="I42" s="416"/>
      <c r="J42" s="416"/>
      <c r="K42" s="416"/>
      <c r="L42" s="424"/>
    </row>
    <row r="43" spans="1:12" ht="12.75" customHeight="1" x14ac:dyDescent="0.2">
      <c r="A43" s="502"/>
      <c r="B43" s="771" t="str">
        <f t="shared" ref="B43:C49" si="4">B17</f>
        <v>Cobertura 01</v>
      </c>
      <c r="C43" s="772">
        <f t="shared" si="4"/>
        <v>67.61</v>
      </c>
      <c r="D43" s="498"/>
      <c r="E43" s="498"/>
      <c r="F43" s="498"/>
      <c r="G43" s="498"/>
      <c r="H43" s="498"/>
      <c r="I43" s="498"/>
      <c r="J43" s="498"/>
      <c r="K43" s="498"/>
      <c r="L43" s="424"/>
    </row>
    <row r="44" spans="1:12" x14ac:dyDescent="0.2">
      <c r="A44" s="502"/>
      <c r="B44" s="593" t="str">
        <f t="shared" si="4"/>
        <v>Cobertura 02</v>
      </c>
      <c r="C44" s="594">
        <f t="shared" si="4"/>
        <v>441.82</v>
      </c>
      <c r="D44" s="498"/>
      <c r="E44" s="498"/>
      <c r="F44" s="498"/>
      <c r="G44" s="498"/>
      <c r="H44" s="498"/>
      <c r="I44" s="498"/>
      <c r="J44" s="498"/>
      <c r="K44" s="498"/>
      <c r="L44" s="424"/>
    </row>
    <row r="45" spans="1:12" x14ac:dyDescent="0.2">
      <c r="A45" s="502"/>
      <c r="B45" s="593" t="str">
        <f t="shared" si="4"/>
        <v>Cobertura 03</v>
      </c>
      <c r="C45" s="594">
        <f t="shared" si="4"/>
        <v>266.20999999999998</v>
      </c>
      <c r="D45" s="498"/>
      <c r="E45" s="498"/>
      <c r="F45" s="498"/>
      <c r="G45" s="498"/>
      <c r="H45" s="498"/>
      <c r="I45" s="498"/>
      <c r="J45" s="498"/>
      <c r="K45" s="498"/>
      <c r="L45" s="424"/>
    </row>
    <row r="46" spans="1:12" x14ac:dyDescent="0.2">
      <c r="A46" s="638"/>
      <c r="B46" s="593" t="str">
        <f t="shared" si="4"/>
        <v>Cobertura 04</v>
      </c>
      <c r="C46" s="594">
        <f t="shared" si="4"/>
        <v>419.17</v>
      </c>
      <c r="D46" s="636"/>
      <c r="E46" s="636"/>
      <c r="F46" s="636"/>
      <c r="G46" s="636"/>
      <c r="H46" s="636"/>
      <c r="I46" s="636"/>
      <c r="J46" s="636"/>
      <c r="K46" s="636"/>
      <c r="L46" s="424"/>
    </row>
    <row r="47" spans="1:12" x14ac:dyDescent="0.2">
      <c r="A47" s="1303"/>
      <c r="B47" s="593" t="str">
        <f t="shared" si="4"/>
        <v>Cobertura 05</v>
      </c>
      <c r="C47" s="594">
        <f t="shared" si="4"/>
        <v>590.77</v>
      </c>
      <c r="D47" s="1293"/>
      <c r="E47" s="1293"/>
      <c r="F47" s="1293"/>
      <c r="G47" s="1293"/>
      <c r="H47" s="1293"/>
      <c r="I47" s="1293"/>
      <c r="J47" s="1293"/>
      <c r="K47" s="1293"/>
      <c r="L47" s="424"/>
    </row>
    <row r="48" spans="1:12" x14ac:dyDescent="0.2">
      <c r="A48" s="638"/>
      <c r="B48" s="593" t="str">
        <f t="shared" si="4"/>
        <v>Cobertura 06</v>
      </c>
      <c r="C48" s="594">
        <f t="shared" si="4"/>
        <v>199.46</v>
      </c>
      <c r="D48" s="636"/>
      <c r="E48" s="636"/>
      <c r="F48" s="636"/>
      <c r="G48" s="636"/>
      <c r="H48" s="636"/>
      <c r="I48" s="636"/>
      <c r="J48" s="636"/>
      <c r="K48" s="636"/>
      <c r="L48" s="424"/>
    </row>
    <row r="49" spans="1:12" ht="13.5" thickBot="1" x14ac:dyDescent="0.25">
      <c r="A49" s="1230"/>
      <c r="B49" s="759" t="str">
        <f t="shared" si="4"/>
        <v>Cobertura 08</v>
      </c>
      <c r="C49" s="486">
        <f t="shared" si="4"/>
        <v>26.67</v>
      </c>
      <c r="D49" s="1212"/>
      <c r="E49" s="1212"/>
      <c r="F49" s="1212"/>
      <c r="G49" s="1212"/>
      <c r="H49" s="1212"/>
      <c r="I49" s="1212"/>
      <c r="J49" s="1212"/>
      <c r="K49" s="1212"/>
      <c r="L49" s="424"/>
    </row>
    <row r="50" spans="1:12" ht="12.75" customHeight="1" thickBot="1" x14ac:dyDescent="0.25">
      <c r="A50" s="502"/>
      <c r="B50" s="558"/>
      <c r="C50" s="558"/>
      <c r="D50" s="498"/>
      <c r="E50" s="498"/>
      <c r="F50" s="498"/>
      <c r="G50" s="498"/>
      <c r="H50" s="498"/>
      <c r="I50" s="498"/>
      <c r="J50" s="498"/>
      <c r="K50" s="498"/>
      <c r="L50" s="424"/>
    </row>
    <row r="51" spans="1:12" ht="13.5" thickBot="1" x14ac:dyDescent="0.25">
      <c r="A51" s="502"/>
      <c r="B51" s="511" t="s">
        <v>263</v>
      </c>
      <c r="C51" s="563">
        <f>SUM(C43:C49)</f>
        <v>2011.71</v>
      </c>
      <c r="D51" s="498"/>
      <c r="E51" s="498"/>
      <c r="F51" s="498"/>
      <c r="G51" s="498"/>
      <c r="H51" s="498"/>
      <c r="I51" s="498"/>
      <c r="J51" s="498"/>
      <c r="K51" s="498"/>
      <c r="L51" s="424"/>
    </row>
    <row r="52" spans="1:12" x14ac:dyDescent="0.2">
      <c r="A52" s="348"/>
      <c r="B52" s="347"/>
      <c r="C52" s="347"/>
      <c r="D52" s="347"/>
      <c r="E52" s="344"/>
      <c r="F52" s="344"/>
      <c r="G52" s="347"/>
      <c r="H52" s="347"/>
      <c r="I52" s="347"/>
      <c r="J52" s="345"/>
      <c r="K52" s="346"/>
      <c r="L52" s="348"/>
    </row>
    <row r="53" spans="1:12" x14ac:dyDescent="0.2">
      <c r="A53" s="477" t="str">
        <f>ORÇ!A54</f>
        <v>5.4</v>
      </c>
      <c r="B53" s="1904" t="str">
        <f>ORÇ!D54</f>
        <v>FORRO EM DRYWALL, PARA AMBIENTES RESIDENCIAIS, INCLUSIVE ESTRUTURA DE FIXAÇÃO. AF_05/2017_P</v>
      </c>
      <c r="C53" s="1904"/>
      <c r="D53" s="1904"/>
      <c r="E53" s="1904"/>
      <c r="F53" s="1904"/>
      <c r="G53" s="1904"/>
      <c r="H53" s="1904"/>
      <c r="I53" s="1904"/>
      <c r="J53" s="1904"/>
      <c r="K53" s="1904"/>
    </row>
    <row r="55" spans="1:12" s="38" customFormat="1" ht="12.75" customHeight="1" x14ac:dyDescent="0.2">
      <c r="A55" s="1172"/>
      <c r="B55" s="1896" t="s">
        <v>1359</v>
      </c>
      <c r="C55" s="1897"/>
      <c r="D55" s="1898"/>
      <c r="E55" s="1302" t="s">
        <v>335</v>
      </c>
      <c r="F55" s="1172"/>
      <c r="H55" s="1896" t="s">
        <v>1359</v>
      </c>
      <c r="I55" s="1897"/>
      <c r="J55" s="1898"/>
      <c r="K55" s="1302" t="s">
        <v>335</v>
      </c>
    </row>
    <row r="56" spans="1:12" s="38" customFormat="1" ht="12.95" customHeight="1" x14ac:dyDescent="0.2">
      <c r="A56" s="1172"/>
      <c r="B56" s="1899" t="s">
        <v>1342</v>
      </c>
      <c r="C56" s="1900"/>
      <c r="D56" s="1901"/>
      <c r="E56" s="1297">
        <v>110</v>
      </c>
      <c r="F56" s="1172"/>
      <c r="H56" s="1899" t="s">
        <v>347</v>
      </c>
      <c r="I56" s="1900"/>
      <c r="J56" s="1901"/>
      <c r="K56" s="1206">
        <v>8.25</v>
      </c>
    </row>
    <row r="57" spans="1:12" s="38" customFormat="1" x14ac:dyDescent="0.2">
      <c r="A57" s="1295"/>
      <c r="B57" s="1899" t="s">
        <v>1348</v>
      </c>
      <c r="C57" s="1900"/>
      <c r="D57" s="1901"/>
      <c r="E57" s="1206">
        <v>12.78</v>
      </c>
      <c r="F57" s="1295"/>
      <c r="H57" s="1899" t="s">
        <v>1361</v>
      </c>
      <c r="I57" s="1900"/>
      <c r="J57" s="1901"/>
      <c r="K57" s="1206">
        <v>46.33</v>
      </c>
    </row>
    <row r="58" spans="1:12" s="38" customFormat="1" ht="12.95" customHeight="1" x14ac:dyDescent="0.2">
      <c r="A58" s="1295"/>
      <c r="B58" s="1899" t="s">
        <v>502</v>
      </c>
      <c r="C58" s="1900"/>
      <c r="D58" s="1901"/>
      <c r="E58" s="1206">
        <v>38.5</v>
      </c>
      <c r="F58" s="1295"/>
      <c r="H58" s="1899" t="s">
        <v>1360</v>
      </c>
      <c r="I58" s="1900"/>
      <c r="J58" s="1901"/>
      <c r="K58" s="1206">
        <v>23.65</v>
      </c>
    </row>
    <row r="59" spans="1:12" s="38" customFormat="1" x14ac:dyDescent="0.2">
      <c r="A59" s="1295"/>
      <c r="B59" s="1899" t="s">
        <v>302</v>
      </c>
      <c r="C59" s="1900"/>
      <c r="D59" s="1901"/>
      <c r="E59" s="1206">
        <v>12.75</v>
      </c>
      <c r="F59" s="1295"/>
      <c r="H59" s="1899" t="s">
        <v>961</v>
      </c>
      <c r="I59" s="1900"/>
      <c r="J59" s="1901"/>
      <c r="K59" s="1206">
        <v>4</v>
      </c>
    </row>
    <row r="60" spans="1:12" s="38" customFormat="1" ht="12.95" customHeight="1" x14ac:dyDescent="0.2">
      <c r="A60" s="1295"/>
      <c r="B60" s="1899" t="s">
        <v>1349</v>
      </c>
      <c r="C60" s="1900"/>
      <c r="D60" s="1901"/>
      <c r="E60" s="1206">
        <f>7.05+9.2+48.08</f>
        <v>64.33</v>
      </c>
      <c r="F60" s="1295"/>
      <c r="H60" s="1899" t="s">
        <v>324</v>
      </c>
      <c r="I60" s="1900"/>
      <c r="J60" s="1901"/>
      <c r="K60" s="1206">
        <v>23.72</v>
      </c>
    </row>
    <row r="61" spans="1:12" s="38" customFormat="1" ht="12.95" customHeight="1" x14ac:dyDescent="0.2">
      <c r="A61" s="1295"/>
      <c r="B61" s="1899" t="s">
        <v>582</v>
      </c>
      <c r="C61" s="1900"/>
      <c r="D61" s="1901"/>
      <c r="E61" s="1206">
        <v>30.9</v>
      </c>
      <c r="F61" s="1295"/>
      <c r="H61" s="1899" t="s">
        <v>320</v>
      </c>
      <c r="I61" s="1900"/>
      <c r="J61" s="1901"/>
      <c r="K61" s="1206">
        <v>18.97</v>
      </c>
    </row>
    <row r="62" spans="1:12" s="38" customFormat="1" ht="12.95" customHeight="1" x14ac:dyDescent="0.2">
      <c r="A62" s="1295"/>
      <c r="B62" s="1899" t="s">
        <v>1344</v>
      </c>
      <c r="C62" s="1900"/>
      <c r="D62" s="1901"/>
      <c r="E62" s="1206">
        <v>13.98</v>
      </c>
      <c r="F62" s="1295"/>
      <c r="H62" s="1899" t="s">
        <v>1362</v>
      </c>
      <c r="I62" s="1900"/>
      <c r="J62" s="1901"/>
      <c r="K62" s="1206">
        <v>21.3</v>
      </c>
    </row>
    <row r="63" spans="1:12" s="38" customFormat="1" ht="12.95" customHeight="1" x14ac:dyDescent="0.2">
      <c r="A63" s="1295"/>
      <c r="B63" s="1899" t="s">
        <v>1343</v>
      </c>
      <c r="C63" s="1900"/>
      <c r="D63" s="1901"/>
      <c r="E63" s="1206">
        <v>13.45</v>
      </c>
      <c r="F63" s="1295"/>
      <c r="H63" s="1899" t="s">
        <v>301</v>
      </c>
      <c r="I63" s="1900"/>
      <c r="J63" s="1901"/>
      <c r="K63" s="1206">
        <v>51.44</v>
      </c>
    </row>
    <row r="64" spans="1:12" s="38" customFormat="1" ht="12.95" customHeight="1" x14ac:dyDescent="0.2">
      <c r="A64" s="1295"/>
      <c r="B64" s="1899" t="s">
        <v>1345</v>
      </c>
      <c r="C64" s="1900"/>
      <c r="D64" s="1901"/>
      <c r="E64" s="1206">
        <v>33.369999999999997</v>
      </c>
      <c r="F64" s="1295"/>
      <c r="H64" s="1899" t="s">
        <v>296</v>
      </c>
      <c r="I64" s="1900"/>
      <c r="J64" s="1901"/>
      <c r="K64" s="1206">
        <v>26.25</v>
      </c>
    </row>
    <row r="65" spans="1:11" s="38" customFormat="1" ht="12.95" customHeight="1" x14ac:dyDescent="0.2">
      <c r="A65" s="1295"/>
      <c r="B65" s="1899" t="s">
        <v>1346</v>
      </c>
      <c r="C65" s="1900"/>
      <c r="D65" s="1901"/>
      <c r="E65" s="1206">
        <v>10.5</v>
      </c>
      <c r="F65" s="1295"/>
      <c r="H65" s="1899" t="s">
        <v>293</v>
      </c>
      <c r="I65" s="1900"/>
      <c r="J65" s="1901"/>
      <c r="K65" s="1206">
        <v>11.73</v>
      </c>
    </row>
    <row r="66" spans="1:11" s="38" customFormat="1" ht="12.95" customHeight="1" x14ac:dyDescent="0.2">
      <c r="A66" s="1295"/>
      <c r="B66" s="1899" t="s">
        <v>1347</v>
      </c>
      <c r="C66" s="1900"/>
      <c r="D66" s="1901"/>
      <c r="E66" s="1206">
        <v>17.23</v>
      </c>
      <c r="F66" s="1295"/>
      <c r="H66" s="1899" t="s">
        <v>292</v>
      </c>
      <c r="I66" s="1900"/>
      <c r="J66" s="1901"/>
      <c r="K66" s="1206">
        <v>4.4000000000000004</v>
      </c>
    </row>
    <row r="67" spans="1:11" s="38" customFormat="1" ht="12.95" customHeight="1" x14ac:dyDescent="0.2">
      <c r="A67" s="1295"/>
      <c r="B67" s="1899" t="s">
        <v>509</v>
      </c>
      <c r="C67" s="1900"/>
      <c r="D67" s="1901"/>
      <c r="E67" s="1206">
        <v>25.7</v>
      </c>
      <c r="F67" s="1295"/>
      <c r="H67" s="1899" t="s">
        <v>1185</v>
      </c>
      <c r="I67" s="1900"/>
      <c r="J67" s="1901"/>
      <c r="K67" s="1206">
        <v>4.55</v>
      </c>
    </row>
    <row r="68" spans="1:11" s="38" customFormat="1" ht="12.95" customHeight="1" x14ac:dyDescent="0.2">
      <c r="A68" s="1295"/>
      <c r="B68" s="1899" t="s">
        <v>508</v>
      </c>
      <c r="C68" s="1900"/>
      <c r="D68" s="1901"/>
      <c r="E68" s="1206">
        <v>33</v>
      </c>
      <c r="F68" s="1295"/>
      <c r="H68" s="1899" t="s">
        <v>347</v>
      </c>
      <c r="I68" s="1900"/>
      <c r="J68" s="1901"/>
      <c r="K68" s="1206">
        <v>5.6</v>
      </c>
    </row>
    <row r="69" spans="1:11" s="38" customFormat="1" ht="12.95" customHeight="1" x14ac:dyDescent="0.2">
      <c r="A69" s="1295"/>
      <c r="B69" s="1899" t="s">
        <v>321</v>
      </c>
      <c r="C69" s="1900"/>
      <c r="D69" s="1901"/>
      <c r="E69" s="1206">
        <v>33.65</v>
      </c>
      <c r="F69" s="1295"/>
      <c r="H69" s="1899" t="s">
        <v>1184</v>
      </c>
      <c r="I69" s="1900"/>
      <c r="J69" s="1901"/>
      <c r="K69" s="1206">
        <v>6.37</v>
      </c>
    </row>
    <row r="70" spans="1:11" s="38" customFormat="1" ht="12.95" customHeight="1" x14ac:dyDescent="0.2">
      <c r="A70" s="1295"/>
      <c r="B70" s="1899" t="s">
        <v>491</v>
      </c>
      <c r="C70" s="1900"/>
      <c r="D70" s="1901"/>
      <c r="E70" s="1206">
        <v>21.64</v>
      </c>
      <c r="F70" s="1295"/>
      <c r="H70" s="1899" t="s">
        <v>297</v>
      </c>
      <c r="I70" s="1900"/>
      <c r="J70" s="1901"/>
      <c r="K70" s="1206">
        <v>55.93</v>
      </c>
    </row>
    <row r="71" spans="1:11" s="38" customFormat="1" ht="12.95" customHeight="1" x14ac:dyDescent="0.2">
      <c r="A71" s="1295"/>
      <c r="B71" s="1899" t="s">
        <v>1350</v>
      </c>
      <c r="C71" s="1900"/>
      <c r="D71" s="1901"/>
      <c r="E71" s="1206">
        <v>23.69</v>
      </c>
      <c r="F71" s="1295"/>
      <c r="H71" s="1899" t="s">
        <v>344</v>
      </c>
      <c r="I71" s="1900"/>
      <c r="J71" s="1901"/>
      <c r="K71" s="1206">
        <v>36.200000000000003</v>
      </c>
    </row>
    <row r="72" spans="1:11" s="38" customFormat="1" ht="12.95" customHeight="1" x14ac:dyDescent="0.2">
      <c r="A72" s="1295"/>
      <c r="B72" s="1899" t="s">
        <v>1351</v>
      </c>
      <c r="C72" s="1900"/>
      <c r="D72" s="1901"/>
      <c r="E72" s="1206">
        <v>18.03</v>
      </c>
      <c r="F72" s="1295"/>
      <c r="H72" s="1899" t="s">
        <v>1363</v>
      </c>
      <c r="I72" s="1900"/>
      <c r="J72" s="1901"/>
      <c r="K72" s="1206">
        <v>38.770000000000003</v>
      </c>
    </row>
    <row r="73" spans="1:11" s="38" customFormat="1" ht="12.95" customHeight="1" x14ac:dyDescent="0.2">
      <c r="A73" s="1177"/>
      <c r="B73" s="1899" t="s">
        <v>1352</v>
      </c>
      <c r="C73" s="1900"/>
      <c r="D73" s="1901"/>
      <c r="E73" s="1206">
        <v>10.97</v>
      </c>
      <c r="F73" s="1177"/>
      <c r="H73" s="1899" t="s">
        <v>294</v>
      </c>
      <c r="I73" s="1900"/>
      <c r="J73" s="1901"/>
      <c r="K73" s="1206">
        <v>14.43</v>
      </c>
    </row>
    <row r="74" spans="1:11" s="38" customFormat="1" ht="12.95" customHeight="1" x14ac:dyDescent="0.2">
      <c r="A74" s="1177"/>
      <c r="B74" s="1899" t="s">
        <v>1353</v>
      </c>
      <c r="C74" s="1900"/>
      <c r="D74" s="1901"/>
      <c r="E74" s="1206">
        <f>11.69+30.9</f>
        <v>42.589999999999996</v>
      </c>
      <c r="F74" s="1177"/>
      <c r="H74" s="1899" t="s">
        <v>295</v>
      </c>
      <c r="I74" s="1900"/>
      <c r="J74" s="1901"/>
      <c r="K74" s="1206">
        <v>15.45</v>
      </c>
    </row>
    <row r="75" spans="1:11" s="38" customFormat="1" x14ac:dyDescent="0.2">
      <c r="A75" s="1177"/>
      <c r="B75" s="1899" t="s">
        <v>298</v>
      </c>
      <c r="C75" s="1900"/>
      <c r="D75" s="1901"/>
      <c r="E75" s="1206">
        <v>56.46</v>
      </c>
      <c r="F75" s="1177"/>
      <c r="H75" s="1899" t="s">
        <v>1364</v>
      </c>
      <c r="I75" s="1900"/>
      <c r="J75" s="1901"/>
      <c r="K75" s="1206">
        <v>33.64</v>
      </c>
    </row>
    <row r="76" spans="1:11" s="38" customFormat="1" ht="26.45" customHeight="1" x14ac:dyDescent="0.2">
      <c r="A76" s="1177"/>
      <c r="B76" s="1899" t="s">
        <v>1354</v>
      </c>
      <c r="C76" s="1900"/>
      <c r="D76" s="1901"/>
      <c r="E76" s="1206">
        <v>9</v>
      </c>
      <c r="F76" s="1177"/>
      <c r="H76" s="1899" t="s">
        <v>1365</v>
      </c>
      <c r="I76" s="1900"/>
      <c r="J76" s="1901"/>
      <c r="K76" s="1206">
        <v>19.09</v>
      </c>
    </row>
    <row r="77" spans="1:11" s="38" customFormat="1" ht="12.95" customHeight="1" x14ac:dyDescent="0.2">
      <c r="A77" s="1172"/>
      <c r="B77" s="1899" t="s">
        <v>1355</v>
      </c>
      <c r="C77" s="1900"/>
      <c r="D77" s="1901"/>
      <c r="E77" s="1206">
        <v>9</v>
      </c>
      <c r="F77" s="1172"/>
      <c r="H77" s="1899" t="s">
        <v>322</v>
      </c>
      <c r="I77" s="1900"/>
      <c r="J77" s="1901"/>
      <c r="K77" s="1206">
        <v>20.78</v>
      </c>
    </row>
    <row r="78" spans="1:11" s="38" customFormat="1" ht="12.95" customHeight="1" x14ac:dyDescent="0.2">
      <c r="A78" s="1177"/>
      <c r="B78" s="1899" t="s">
        <v>299</v>
      </c>
      <c r="C78" s="1900"/>
      <c r="D78" s="1901"/>
      <c r="E78" s="1206">
        <v>16.7</v>
      </c>
      <c r="F78" s="1177"/>
      <c r="H78" s="1899" t="s">
        <v>1366</v>
      </c>
      <c r="I78" s="1900"/>
      <c r="J78" s="1901"/>
      <c r="K78" s="1206">
        <v>20.149999999999999</v>
      </c>
    </row>
    <row r="79" spans="1:11" s="38" customFormat="1" ht="12.95" customHeight="1" x14ac:dyDescent="0.2">
      <c r="A79" s="1177"/>
      <c r="B79" s="1899" t="s">
        <v>1356</v>
      </c>
      <c r="C79" s="1900"/>
      <c r="D79" s="1901"/>
      <c r="E79" s="1206">
        <v>20.55</v>
      </c>
      <c r="F79" s="1177"/>
      <c r="H79" s="1899" t="s">
        <v>323</v>
      </c>
      <c r="I79" s="1900"/>
      <c r="J79" s="1901"/>
      <c r="K79" s="1206">
        <v>20.149999999999999</v>
      </c>
    </row>
    <row r="80" spans="1:11" s="38" customFormat="1" ht="12.95" customHeight="1" x14ac:dyDescent="0.2">
      <c r="A80" s="1177"/>
      <c r="B80" s="1899" t="s">
        <v>1357</v>
      </c>
      <c r="C80" s="1900"/>
      <c r="D80" s="1901"/>
      <c r="E80" s="1206">
        <v>9.25</v>
      </c>
      <c r="F80" s="1177"/>
      <c r="H80" s="1899" t="s">
        <v>490</v>
      </c>
      <c r="I80" s="1900"/>
      <c r="J80" s="1901"/>
      <c r="K80" s="1206">
        <v>20.71</v>
      </c>
    </row>
    <row r="81" spans="1:12" s="38" customFormat="1" x14ac:dyDescent="0.2">
      <c r="A81" s="1172"/>
      <c r="B81" s="1899" t="s">
        <v>300</v>
      </c>
      <c r="C81" s="1900"/>
      <c r="D81" s="1901"/>
      <c r="E81" s="1206">
        <v>32.549999999999997</v>
      </c>
      <c r="F81" s="1172"/>
      <c r="H81" s="1899" t="s">
        <v>1367</v>
      </c>
      <c r="I81" s="1900"/>
      <c r="J81" s="1901"/>
      <c r="K81" s="1206">
        <v>110</v>
      </c>
    </row>
    <row r="82" spans="1:12" s="38" customFormat="1" ht="12.95" customHeight="1" x14ac:dyDescent="0.2">
      <c r="A82" s="1177"/>
      <c r="B82" s="1899" t="s">
        <v>346</v>
      </c>
      <c r="C82" s="1900"/>
      <c r="D82" s="1901"/>
      <c r="E82" s="1206">
        <v>21.48</v>
      </c>
      <c r="F82" s="1177"/>
      <c r="H82" s="1899"/>
      <c r="I82" s="1900"/>
      <c r="J82" s="1901"/>
      <c r="K82" s="1206"/>
    </row>
    <row r="83" spans="1:12" s="38" customFormat="1" ht="12.75" customHeight="1" x14ac:dyDescent="0.2">
      <c r="A83" s="1172"/>
      <c r="B83" s="1899" t="s">
        <v>446</v>
      </c>
      <c r="C83" s="1900"/>
      <c r="D83" s="1901"/>
      <c r="E83" s="1206">
        <v>27.48</v>
      </c>
      <c r="F83" s="1172"/>
      <c r="H83" s="1899"/>
      <c r="I83" s="1900"/>
      <c r="J83" s="1901"/>
      <c r="K83" s="1206"/>
    </row>
    <row r="84" spans="1:12" s="38" customFormat="1" ht="12.75" customHeight="1" x14ac:dyDescent="0.2">
      <c r="A84" s="1172"/>
      <c r="B84" s="1899" t="s">
        <v>960</v>
      </c>
      <c r="C84" s="1900"/>
      <c r="D84" s="1901"/>
      <c r="E84" s="1206">
        <v>4</v>
      </c>
      <c r="F84" s="1172"/>
      <c r="H84" s="1899"/>
      <c r="I84" s="1900"/>
      <c r="J84" s="1901"/>
      <c r="K84" s="1206"/>
    </row>
    <row r="85" spans="1:12" s="38" customFormat="1" ht="12.95" customHeight="1" x14ac:dyDescent="0.2">
      <c r="A85" s="1177"/>
      <c r="B85" s="1899" t="s">
        <v>1358</v>
      </c>
      <c r="C85" s="1900"/>
      <c r="D85" s="1901"/>
      <c r="E85" s="1206">
        <v>27.49</v>
      </c>
      <c r="F85" s="1177"/>
      <c r="H85" s="1899"/>
      <c r="I85" s="1900"/>
      <c r="J85" s="1901"/>
      <c r="K85" s="1206"/>
    </row>
    <row r="86" spans="1:12" s="38" customFormat="1" x14ac:dyDescent="0.2">
      <c r="A86" s="1177"/>
      <c r="B86" s="1893" t="s">
        <v>60</v>
      </c>
      <c r="C86" s="1894"/>
      <c r="D86" s="1895"/>
      <c r="E86" s="1332">
        <f>SUM(E56:E85)</f>
        <v>801.0200000000001</v>
      </c>
      <c r="F86" s="1295"/>
      <c r="G86" s="1171"/>
      <c r="H86" s="1893" t="s">
        <v>60</v>
      </c>
      <c r="I86" s="1894"/>
      <c r="J86" s="1895"/>
      <c r="K86" s="1332">
        <f>SUM(K56:K85)</f>
        <v>661.8599999999999</v>
      </c>
      <c r="L86" s="1171"/>
    </row>
    <row r="87" spans="1:12" s="38" customFormat="1" ht="13.5" thickBot="1" x14ac:dyDescent="0.25">
      <c r="A87" s="1295"/>
      <c r="B87" s="1298"/>
      <c r="C87" s="1298"/>
      <c r="D87" s="1298"/>
      <c r="E87" s="503"/>
      <c r="F87" s="1295"/>
      <c r="H87" s="1298"/>
      <c r="I87" s="1298"/>
      <c r="J87" s="1298"/>
      <c r="K87" s="503"/>
    </row>
    <row r="88" spans="1:12" ht="15" x14ac:dyDescent="0.25">
      <c r="B88" s="516"/>
      <c r="C88" s="517"/>
      <c r="D88" s="518" t="s">
        <v>263</v>
      </c>
    </row>
    <row r="89" spans="1:12" ht="15.75" thickBot="1" x14ac:dyDescent="0.3">
      <c r="B89" s="519" t="s">
        <v>336</v>
      </c>
      <c r="C89" s="520" t="s">
        <v>72</v>
      </c>
      <c r="D89" s="521">
        <f>E86+K86</f>
        <v>1462.88</v>
      </c>
    </row>
    <row r="91" spans="1:12" x14ac:dyDescent="0.2">
      <c r="A91" s="477" t="str">
        <f>ORÇ!A55</f>
        <v>5.5</v>
      </c>
      <c r="B91" s="1904" t="str">
        <f>ORÇ!D55</f>
        <v>CHAPIM EM CONCRETO APARENTE COM ACABAMENTO DESEMPENADO</v>
      </c>
      <c r="C91" s="1904"/>
      <c r="D91" s="1904"/>
      <c r="E91" s="1904"/>
      <c r="F91" s="1904"/>
      <c r="G91" s="1904"/>
      <c r="H91" s="1904"/>
      <c r="I91" s="1904"/>
      <c r="J91" s="1904"/>
      <c r="K91" s="1904"/>
    </row>
    <row r="92" spans="1:12" ht="13.5" thickBot="1" x14ac:dyDescent="0.25"/>
    <row r="93" spans="1:12" ht="13.5" thickBot="1" x14ac:dyDescent="0.25">
      <c r="A93" s="596"/>
      <c r="B93" s="1888" t="s">
        <v>483</v>
      </c>
      <c r="C93" s="1889"/>
      <c r="D93" s="399"/>
      <c r="E93" s="755"/>
      <c r="F93" s="756"/>
      <c r="G93" s="43"/>
      <c r="H93" s="19"/>
      <c r="I93" s="19"/>
      <c r="J93" s="33"/>
      <c r="K93" s="19"/>
    </row>
    <row r="94" spans="1:12" ht="13.5" thickBot="1" x14ac:dyDescent="0.25">
      <c r="A94" s="596"/>
      <c r="B94" s="399"/>
      <c r="C94" s="325"/>
      <c r="D94" s="399"/>
      <c r="E94" s="755"/>
      <c r="F94" s="756"/>
      <c r="G94" s="43"/>
      <c r="H94" s="19"/>
      <c r="I94" s="19"/>
      <c r="J94" s="33"/>
      <c r="K94" s="19"/>
    </row>
    <row r="95" spans="1:12" x14ac:dyDescent="0.2">
      <c r="A95" s="596"/>
      <c r="B95" s="1910" t="s">
        <v>254</v>
      </c>
      <c r="C95" s="1911"/>
      <c r="D95" s="1911"/>
      <c r="E95" s="1912"/>
    </row>
    <row r="96" spans="1:12" ht="13.5" thickBot="1" x14ac:dyDescent="0.25">
      <c r="A96" s="596"/>
      <c r="B96" s="478">
        <v>11.82</v>
      </c>
      <c r="C96" s="479">
        <v>6.85</v>
      </c>
      <c r="D96" s="479">
        <f>B96</f>
        <v>11.82</v>
      </c>
      <c r="E96" s="480">
        <f>C96</f>
        <v>6.85</v>
      </c>
    </row>
    <row r="97" spans="1:11" ht="13.5" thickBot="1" x14ac:dyDescent="0.25">
      <c r="A97" s="596"/>
      <c r="B97" s="399"/>
      <c r="C97" s="325"/>
      <c r="D97" s="399"/>
      <c r="E97" s="755"/>
      <c r="F97" s="756"/>
      <c r="G97" s="43"/>
      <c r="H97" s="19"/>
      <c r="I97" s="19"/>
      <c r="J97" s="33"/>
      <c r="K97" s="19"/>
    </row>
    <row r="98" spans="1:11" x14ac:dyDescent="0.2">
      <c r="B98" s="773"/>
      <c r="C98" s="794" t="s">
        <v>233</v>
      </c>
    </row>
    <row r="99" spans="1:11" s="329" customFormat="1" ht="13.5" thickBot="1" x14ac:dyDescent="0.25">
      <c r="B99" s="779" t="str">
        <f>B93</f>
        <v>Cobertura 1</v>
      </c>
      <c r="C99" s="795">
        <f>SUM(B96:E96)</f>
        <v>37.340000000000003</v>
      </c>
    </row>
    <row r="100" spans="1:11" ht="13.5" thickBot="1" x14ac:dyDescent="0.25"/>
    <row r="101" spans="1:11" ht="13.5" thickBot="1" x14ac:dyDescent="0.25">
      <c r="B101" s="1908" t="s">
        <v>484</v>
      </c>
      <c r="C101" s="1909"/>
      <c r="D101" s="399"/>
      <c r="E101" s="755"/>
      <c r="F101" s="756"/>
      <c r="G101" s="43"/>
      <c r="H101" s="19"/>
      <c r="I101" s="19"/>
      <c r="J101" s="33"/>
    </row>
    <row r="102" spans="1:11" ht="13.5" thickBot="1" x14ac:dyDescent="0.25">
      <c r="B102" s="399"/>
      <c r="C102" s="325"/>
      <c r="D102" s="399"/>
      <c r="E102" s="755"/>
      <c r="F102" s="756"/>
      <c r="G102" s="43"/>
      <c r="H102" s="19"/>
      <c r="I102" s="19"/>
      <c r="J102" s="33"/>
    </row>
    <row r="103" spans="1:11" ht="13.5" thickBot="1" x14ac:dyDescent="0.25">
      <c r="B103" s="1913" t="s">
        <v>254</v>
      </c>
      <c r="C103" s="1914"/>
      <c r="D103" s="1914"/>
      <c r="E103" s="1914"/>
      <c r="F103" s="1914"/>
      <c r="G103" s="1914"/>
      <c r="H103" s="1914"/>
      <c r="I103" s="1914"/>
      <c r="J103" s="1915"/>
    </row>
    <row r="104" spans="1:11" ht="13.5" thickBot="1" x14ac:dyDescent="0.25">
      <c r="B104" s="1333">
        <v>5.21</v>
      </c>
      <c r="C104" s="1334">
        <v>1.4</v>
      </c>
      <c r="D104" s="1334">
        <v>7.36</v>
      </c>
      <c r="E104" s="1334">
        <v>2.65</v>
      </c>
      <c r="F104" s="1334">
        <v>5.15</v>
      </c>
      <c r="G104" s="1334">
        <v>15.25</v>
      </c>
      <c r="H104" s="1334">
        <v>7.15</v>
      </c>
      <c r="I104" s="1334">
        <v>13.1</v>
      </c>
      <c r="J104" s="1335"/>
    </row>
    <row r="105" spans="1:11" ht="13.5" thickBot="1" x14ac:dyDescent="0.25">
      <c r="B105" s="399"/>
      <c r="C105" s="325"/>
      <c r="D105" s="399"/>
      <c r="E105" s="755"/>
      <c r="F105" s="756"/>
      <c r="G105" s="43"/>
      <c r="H105" s="19"/>
      <c r="I105" s="19"/>
      <c r="J105" s="33"/>
    </row>
    <row r="106" spans="1:11" x14ac:dyDescent="0.2">
      <c r="B106" s="773"/>
      <c r="C106" s="794" t="s">
        <v>233</v>
      </c>
    </row>
    <row r="107" spans="1:11" ht="13.5" thickBot="1" x14ac:dyDescent="0.25">
      <c r="B107" s="775" t="s">
        <v>484</v>
      </c>
      <c r="C107" s="796">
        <f>SUM(B104:J104)</f>
        <v>57.269999999999996</v>
      </c>
    </row>
    <row r="108" spans="1:11" s="379" customFormat="1" x14ac:dyDescent="0.2">
      <c r="B108" s="758"/>
      <c r="C108" s="483"/>
      <c r="D108" s="758"/>
      <c r="E108" s="483"/>
      <c r="F108" s="758"/>
      <c r="G108" s="483"/>
      <c r="H108" s="758"/>
    </row>
    <row r="109" spans="1:11" ht="13.5" thickBot="1" x14ac:dyDescent="0.25"/>
    <row r="110" spans="1:11" ht="13.5" thickBot="1" x14ac:dyDescent="0.25">
      <c r="B110" s="1888" t="s">
        <v>486</v>
      </c>
      <c r="C110" s="1889"/>
      <c r="D110" s="399"/>
      <c r="E110" s="755"/>
      <c r="F110" s="756"/>
      <c r="G110" s="43"/>
      <c r="H110" s="19"/>
      <c r="I110" s="19"/>
      <c r="J110" s="33"/>
    </row>
    <row r="111" spans="1:11" ht="13.5" thickBot="1" x14ac:dyDescent="0.25">
      <c r="B111" s="399"/>
      <c r="C111" s="325"/>
      <c r="D111" s="399"/>
      <c r="E111" s="755"/>
      <c r="F111" s="756"/>
      <c r="G111" s="43"/>
      <c r="H111" s="19"/>
      <c r="I111" s="19"/>
      <c r="J111" s="33"/>
    </row>
    <row r="112" spans="1:11" ht="13.5" thickBot="1" x14ac:dyDescent="0.25">
      <c r="B112" s="1890" t="s">
        <v>254</v>
      </c>
      <c r="C112" s="1891"/>
      <c r="D112" s="1891"/>
      <c r="E112" s="1891"/>
      <c r="F112" s="1891"/>
      <c r="G112" s="1891"/>
      <c r="H112" s="1891"/>
      <c r="I112" s="1891"/>
      <c r="J112" s="1892"/>
    </row>
    <row r="113" spans="1:10" ht="13.5" thickBot="1" x14ac:dyDescent="0.25">
      <c r="B113" s="1333">
        <v>27.15</v>
      </c>
      <c r="C113" s="1334">
        <v>4.55</v>
      </c>
      <c r="D113" s="1334">
        <v>6</v>
      </c>
      <c r="E113" s="1334">
        <v>11.5</v>
      </c>
      <c r="F113" s="1334">
        <v>16.8</v>
      </c>
      <c r="G113" s="1334">
        <v>11.35</v>
      </c>
      <c r="H113" s="1334">
        <v>12.5</v>
      </c>
      <c r="I113" s="1334"/>
      <c r="J113" s="1335"/>
    </row>
    <row r="114" spans="1:10" ht="13.5" thickBot="1" x14ac:dyDescent="0.25">
      <c r="B114" s="769"/>
      <c r="C114" s="769"/>
      <c r="D114" s="769"/>
      <c r="E114" s="769"/>
      <c r="F114" s="769"/>
      <c r="G114" s="769"/>
      <c r="H114" s="769"/>
    </row>
    <row r="115" spans="1:10" x14ac:dyDescent="0.2">
      <c r="B115" s="773"/>
      <c r="C115" s="794" t="s">
        <v>233</v>
      </c>
    </row>
    <row r="116" spans="1:10" ht="13.5" thickBot="1" x14ac:dyDescent="0.25">
      <c r="B116" s="775" t="str">
        <f>B110</f>
        <v>Cobertura 3 e 4</v>
      </c>
      <c r="C116" s="796">
        <f>SUM(B113:J113)</f>
        <v>89.85</v>
      </c>
    </row>
    <row r="118" spans="1:10" ht="13.5" thickBot="1" x14ac:dyDescent="0.25"/>
    <row r="119" spans="1:10" ht="13.5" thickBot="1" x14ac:dyDescent="0.25">
      <c r="B119" s="1888" t="s">
        <v>485</v>
      </c>
      <c r="C119" s="1889"/>
      <c r="D119" s="399"/>
      <c r="E119" s="755"/>
      <c r="F119" s="756"/>
      <c r="G119" s="43"/>
      <c r="H119" s="19"/>
      <c r="I119" s="19"/>
      <c r="J119" s="33"/>
    </row>
    <row r="120" spans="1:10" ht="13.5" thickBot="1" x14ac:dyDescent="0.25">
      <c r="B120" s="399"/>
      <c r="C120" s="325"/>
      <c r="D120" s="399"/>
      <c r="E120" s="755"/>
      <c r="F120" s="756"/>
      <c r="G120" s="43"/>
      <c r="H120" s="19"/>
      <c r="I120" s="19"/>
      <c r="J120" s="33"/>
    </row>
    <row r="121" spans="1:10" ht="13.5" thickBot="1" x14ac:dyDescent="0.25">
      <c r="B121" s="1890" t="s">
        <v>254</v>
      </c>
      <c r="C121" s="1891"/>
      <c r="D121" s="1891"/>
      <c r="E121" s="1891"/>
      <c r="F121" s="1891"/>
      <c r="G121" s="1891"/>
      <c r="H121" s="1892"/>
      <c r="I121" s="770"/>
      <c r="J121" s="770"/>
    </row>
    <row r="122" spans="1:10" ht="13.5" thickBot="1" x14ac:dyDescent="0.25">
      <c r="B122" s="783">
        <v>11.95</v>
      </c>
      <c r="C122" s="784">
        <v>11.6</v>
      </c>
      <c r="D122" s="784">
        <f>B122</f>
        <v>11.95</v>
      </c>
      <c r="E122" s="784">
        <f>C122</f>
        <v>11.6</v>
      </c>
      <c r="F122" s="784"/>
      <c r="G122" s="784"/>
      <c r="H122" s="785"/>
      <c r="I122" s="769"/>
      <c r="J122" s="769"/>
    </row>
    <row r="123" spans="1:10" ht="13.5" thickBot="1" x14ac:dyDescent="0.25">
      <c r="B123" s="769"/>
      <c r="C123" s="769"/>
      <c r="D123" s="769"/>
      <c r="E123" s="769"/>
      <c r="F123" s="769"/>
      <c r="G123" s="769"/>
      <c r="H123" s="769"/>
    </row>
    <row r="124" spans="1:10" x14ac:dyDescent="0.2">
      <c r="B124" s="773"/>
      <c r="C124" s="794" t="s">
        <v>233</v>
      </c>
      <c r="D124" s="399"/>
      <c r="E124" s="755"/>
      <c r="F124" s="756"/>
      <c r="G124" s="43"/>
      <c r="H124" s="19"/>
      <c r="I124" s="19"/>
      <c r="J124" s="33"/>
    </row>
    <row r="125" spans="1:10" ht="13.5" thickBot="1" x14ac:dyDescent="0.25">
      <c r="B125" s="775" t="str">
        <f>B119</f>
        <v>Cobertura 5</v>
      </c>
      <c r="C125" s="796">
        <f>SUM(B122:H122)</f>
        <v>47.1</v>
      </c>
      <c r="D125" s="399"/>
      <c r="E125" s="1292"/>
      <c r="F125" s="1305"/>
      <c r="G125" s="43"/>
      <c r="H125" s="19"/>
      <c r="I125" s="19"/>
      <c r="J125" s="33"/>
    </row>
    <row r="126" spans="1:10" ht="13.5" thickBot="1" x14ac:dyDescent="0.25">
      <c r="A126" s="1292"/>
      <c r="B126" s="1292"/>
      <c r="C126" s="1292"/>
      <c r="D126" s="1292"/>
      <c r="E126" s="1292"/>
      <c r="F126" s="1305"/>
      <c r="G126" s="43"/>
      <c r="H126" s="19"/>
      <c r="I126" s="19"/>
      <c r="J126" s="33"/>
    </row>
    <row r="127" spans="1:10" ht="13.5" thickBot="1" x14ac:dyDescent="0.25">
      <c r="B127" s="1888" t="s">
        <v>1368</v>
      </c>
      <c r="C127" s="1889"/>
      <c r="D127" s="399"/>
      <c r="E127" s="1292"/>
      <c r="F127" s="1305"/>
      <c r="G127" s="43"/>
      <c r="H127" s="19"/>
      <c r="I127" s="19"/>
      <c r="J127" s="33"/>
    </row>
    <row r="128" spans="1:10" ht="13.5" thickBot="1" x14ac:dyDescent="0.25">
      <c r="B128" s="399"/>
      <c r="C128" s="325"/>
      <c r="D128" s="399"/>
      <c r="E128" s="1292"/>
      <c r="F128" s="1305"/>
      <c r="G128" s="43"/>
      <c r="H128" s="19"/>
      <c r="I128" s="19"/>
      <c r="J128" s="33"/>
    </row>
    <row r="129" spans="1:12" ht="13.5" thickBot="1" x14ac:dyDescent="0.25">
      <c r="B129" s="1890" t="s">
        <v>254</v>
      </c>
      <c r="C129" s="1891"/>
      <c r="D129" s="1891"/>
      <c r="E129" s="1891"/>
      <c r="F129" s="1891"/>
      <c r="G129" s="1891"/>
      <c r="H129" s="1892"/>
      <c r="I129" s="19"/>
      <c r="J129" s="33"/>
    </row>
    <row r="130" spans="1:12" ht="13.5" thickBot="1" x14ac:dyDescent="0.25">
      <c r="B130" s="783">
        <v>3.5</v>
      </c>
      <c r="C130" s="784">
        <f>1.3+0.15</f>
        <v>1.45</v>
      </c>
      <c r="D130" s="784">
        <f>13.9+0.15+0.15</f>
        <v>14.200000000000001</v>
      </c>
      <c r="E130" s="784">
        <f>C130</f>
        <v>1.45</v>
      </c>
      <c r="F130" s="784">
        <v>3.5</v>
      </c>
      <c r="G130" s="784"/>
      <c r="H130" s="785"/>
      <c r="I130" s="19"/>
      <c r="J130" s="33"/>
    </row>
    <row r="131" spans="1:12" ht="13.5" thickBot="1" x14ac:dyDescent="0.25">
      <c r="B131" s="769"/>
      <c r="C131" s="769"/>
      <c r="D131" s="769"/>
      <c r="E131" s="769"/>
      <c r="F131" s="769"/>
      <c r="G131" s="769"/>
      <c r="H131" s="769"/>
    </row>
    <row r="132" spans="1:12" x14ac:dyDescent="0.2">
      <c r="B132" s="773"/>
      <c r="C132" s="1301" t="s">
        <v>233</v>
      </c>
      <c r="D132" s="399"/>
      <c r="E132" s="1292"/>
      <c r="F132" s="1305"/>
      <c r="G132" s="43"/>
      <c r="H132" s="19"/>
    </row>
    <row r="133" spans="1:12" ht="13.5" thickBot="1" x14ac:dyDescent="0.25">
      <c r="B133" s="775" t="str">
        <f>B127</f>
        <v>Cobertura 6</v>
      </c>
      <c r="C133" s="796">
        <f>SUM(B130:H130)</f>
        <v>24.1</v>
      </c>
      <c r="D133" s="399"/>
      <c r="E133" s="1292"/>
      <c r="F133" s="1305"/>
      <c r="G133" s="43"/>
      <c r="H133" s="19"/>
    </row>
    <row r="134" spans="1:12" ht="13.5" thickBot="1" x14ac:dyDescent="0.25"/>
    <row r="135" spans="1:12" s="757" customFormat="1" x14ac:dyDescent="0.2">
      <c r="A135" s="786"/>
      <c r="B135" s="787" t="str">
        <f>B93</f>
        <v>Cobertura 1</v>
      </c>
      <c r="C135" s="788"/>
      <c r="D135" s="787" t="str">
        <f>B101</f>
        <v>Cobertura 2</v>
      </c>
      <c r="E135" s="788"/>
      <c r="F135" s="787" t="str">
        <f>B110</f>
        <v>Cobertura 3 e 4</v>
      </c>
      <c r="G135" s="788"/>
      <c r="H135" s="787" t="str">
        <f>B119</f>
        <v>Cobertura 5</v>
      </c>
      <c r="I135" s="788"/>
      <c r="J135" s="787" t="str">
        <f>B127</f>
        <v>Cobertura 6</v>
      </c>
      <c r="K135" s="788"/>
      <c r="L135" s="789" t="s">
        <v>263</v>
      </c>
    </row>
    <row r="136" spans="1:12" s="757" customFormat="1" ht="13.5" thickBot="1" x14ac:dyDescent="0.25">
      <c r="A136" s="790" t="s">
        <v>318</v>
      </c>
      <c r="B136" s="791">
        <f>C99</f>
        <v>37.340000000000003</v>
      </c>
      <c r="C136" s="792" t="s">
        <v>75</v>
      </c>
      <c r="D136" s="791">
        <f>C107</f>
        <v>57.269999999999996</v>
      </c>
      <c r="E136" s="792" t="s">
        <v>75</v>
      </c>
      <c r="F136" s="791">
        <f>C116</f>
        <v>89.85</v>
      </c>
      <c r="G136" s="792" t="s">
        <v>75</v>
      </c>
      <c r="H136" s="791">
        <f>C125</f>
        <v>47.1</v>
      </c>
      <c r="I136" s="792" t="s">
        <v>75</v>
      </c>
      <c r="J136" s="791">
        <f>C133</f>
        <v>24.1</v>
      </c>
      <c r="K136" s="792" t="s">
        <v>72</v>
      </c>
      <c r="L136" s="793">
        <f>SUM(B136:J136)</f>
        <v>255.65999999999997</v>
      </c>
    </row>
    <row r="139" spans="1:12" x14ac:dyDescent="0.2">
      <c r="A139" s="477" t="str">
        <f>ORÇ!A56</f>
        <v>5.6</v>
      </c>
      <c r="B139" s="1904" t="str">
        <f>ORÇ!D56</f>
        <v>RUFO EM CHAPA DE AÇO GALVANIZADO NÚMERO 24, CORTE DE 25 CM, INCLUSO TRANSPORTE VERTICAL. AF_07/2019</v>
      </c>
      <c r="C139" s="1904"/>
      <c r="D139" s="1904"/>
      <c r="E139" s="1904"/>
      <c r="F139" s="1904"/>
      <c r="G139" s="1904"/>
      <c r="H139" s="1904"/>
      <c r="I139" s="1904"/>
      <c r="J139" s="1904"/>
      <c r="K139" s="1904"/>
    </row>
    <row r="141" spans="1:12" x14ac:dyDescent="0.2">
      <c r="B141" s="757" t="s">
        <v>483</v>
      </c>
      <c r="C141" s="757"/>
    </row>
    <row r="142" spans="1:12" x14ac:dyDescent="0.2">
      <c r="B142" s="1903" t="s">
        <v>254</v>
      </c>
      <c r="C142" s="1903"/>
      <c r="D142" s="1903"/>
    </row>
    <row r="143" spans="1:12" x14ac:dyDescent="0.2">
      <c r="B143" s="1299">
        <v>10.82</v>
      </c>
      <c r="C143" s="1299">
        <v>6.85</v>
      </c>
      <c r="D143" s="1299">
        <v>10.82</v>
      </c>
    </row>
    <row r="145" spans="2:7" x14ac:dyDescent="0.2">
      <c r="B145" s="757" t="s">
        <v>596</v>
      </c>
      <c r="C145" s="339">
        <f>SUM(B143:D143)</f>
        <v>28.490000000000002</v>
      </c>
    </row>
    <row r="147" spans="2:7" x14ac:dyDescent="0.2">
      <c r="B147" s="757" t="s">
        <v>484</v>
      </c>
    </row>
    <row r="148" spans="2:7" x14ac:dyDescent="0.2">
      <c r="B148" s="1903" t="s">
        <v>254</v>
      </c>
      <c r="C148" s="1903"/>
      <c r="D148" s="1903"/>
      <c r="E148" s="1903"/>
      <c r="F148" s="1903"/>
      <c r="G148" s="1903"/>
    </row>
    <row r="149" spans="2:7" x14ac:dyDescent="0.2">
      <c r="B149" s="577">
        <v>16.809999999999999</v>
      </c>
      <c r="C149" s="577">
        <v>24.5</v>
      </c>
      <c r="D149" s="577">
        <v>2.5</v>
      </c>
      <c r="E149" s="577">
        <v>16.8</v>
      </c>
      <c r="F149" s="577">
        <v>1.4</v>
      </c>
      <c r="G149" s="577">
        <v>7.36</v>
      </c>
    </row>
    <row r="150" spans="2:7" x14ac:dyDescent="0.2">
      <c r="B150" s="577">
        <v>2.65</v>
      </c>
      <c r="C150" s="577">
        <v>5.15</v>
      </c>
      <c r="D150" s="577">
        <v>15.7</v>
      </c>
      <c r="E150" s="577"/>
      <c r="F150" s="577"/>
      <c r="G150" s="577"/>
    </row>
    <row r="152" spans="2:7" x14ac:dyDescent="0.2">
      <c r="B152" s="757" t="s">
        <v>596</v>
      </c>
      <c r="C152" s="339">
        <f>SUM(B149:G150)</f>
        <v>92.870000000000019</v>
      </c>
    </row>
    <row r="154" spans="2:7" x14ac:dyDescent="0.2">
      <c r="B154" t="s">
        <v>594</v>
      </c>
    </row>
    <row r="155" spans="2:7" x14ac:dyDescent="0.2">
      <c r="B155" s="1903" t="s">
        <v>254</v>
      </c>
      <c r="C155" s="1903"/>
      <c r="D155" s="1903"/>
      <c r="E155" s="1903"/>
    </row>
    <row r="156" spans="2:7" x14ac:dyDescent="0.2">
      <c r="B156" s="577">
        <v>12.8</v>
      </c>
      <c r="C156" s="577">
        <v>4.01</v>
      </c>
      <c r="D156" s="577">
        <v>4.13</v>
      </c>
      <c r="E156" s="577">
        <v>8.7899999999999991</v>
      </c>
    </row>
    <row r="158" spans="2:7" x14ac:dyDescent="0.2">
      <c r="B158" s="757" t="s">
        <v>596</v>
      </c>
      <c r="C158" s="339">
        <f>SUM(B156:E156)</f>
        <v>29.73</v>
      </c>
    </row>
    <row r="160" spans="2:7" x14ac:dyDescent="0.2">
      <c r="B160" t="s">
        <v>595</v>
      </c>
    </row>
    <row r="161" spans="1:11" x14ac:dyDescent="0.2">
      <c r="B161" s="1903" t="s">
        <v>254</v>
      </c>
      <c r="C161" s="1903"/>
      <c r="D161" s="1903"/>
      <c r="E161" s="1903"/>
      <c r="F161" s="1903"/>
    </row>
    <row r="162" spans="1:11" x14ac:dyDescent="0.2">
      <c r="B162" s="577">
        <v>16.3</v>
      </c>
      <c r="C162" s="577">
        <v>11.36</v>
      </c>
      <c r="D162" s="577">
        <v>1.45</v>
      </c>
      <c r="E162" s="577">
        <v>6</v>
      </c>
      <c r="F162" s="577">
        <v>1.45</v>
      </c>
    </row>
    <row r="163" spans="1:11" x14ac:dyDescent="0.2">
      <c r="B163" s="577">
        <v>11.6</v>
      </c>
      <c r="C163" s="577">
        <v>1.45</v>
      </c>
      <c r="D163" s="577">
        <v>6.5</v>
      </c>
      <c r="E163" s="577">
        <v>4.7</v>
      </c>
      <c r="F163" s="577">
        <v>10.81</v>
      </c>
    </row>
    <row r="165" spans="1:11" x14ac:dyDescent="0.2">
      <c r="B165" s="757" t="s">
        <v>596</v>
      </c>
      <c r="C165" s="339">
        <f>SUM(B162:F163)</f>
        <v>71.62</v>
      </c>
    </row>
    <row r="167" spans="1:11" x14ac:dyDescent="0.2">
      <c r="B167" t="s">
        <v>485</v>
      </c>
    </row>
    <row r="168" spans="1:11" x14ac:dyDescent="0.2">
      <c r="B168" s="1903" t="s">
        <v>254</v>
      </c>
      <c r="C168" s="1903"/>
      <c r="D168" s="1903"/>
      <c r="E168" s="1903"/>
    </row>
    <row r="169" spans="1:11" x14ac:dyDescent="0.2">
      <c r="B169" s="577">
        <v>13.1</v>
      </c>
      <c r="C169" s="577">
        <v>9.15</v>
      </c>
      <c r="D169" s="577">
        <v>3.5</v>
      </c>
      <c r="E169" s="577">
        <v>1.45</v>
      </c>
    </row>
    <row r="171" spans="1:11" x14ac:dyDescent="0.2">
      <c r="B171" s="757" t="s">
        <v>596</v>
      </c>
      <c r="C171" s="339">
        <f>SUM(B169:E169)</f>
        <v>27.2</v>
      </c>
    </row>
    <row r="172" spans="1:11" ht="13.5" thickBot="1" x14ac:dyDescent="0.25"/>
    <row r="173" spans="1:11" ht="13.5" thickBot="1" x14ac:dyDescent="0.25">
      <c r="B173" s="670" t="s">
        <v>255</v>
      </c>
      <c r="C173" s="671">
        <f>C171+C165+C158+C152+C145</f>
        <v>249.91000000000003</v>
      </c>
    </row>
    <row r="174" spans="1:11" s="379" customFormat="1" x14ac:dyDescent="0.2">
      <c r="B174" s="845"/>
      <c r="C174" s="483"/>
    </row>
    <row r="175" spans="1:11" x14ac:dyDescent="0.2">
      <c r="A175" s="477" t="str">
        <f>ORÇ!A57</f>
        <v>5.7</v>
      </c>
      <c r="B175" s="1904" t="str">
        <f>ORÇ!D57</f>
        <v>FORNECIMENTO E INSTALAÇÃO DE COBERTURA EM TELHA TERMOACUSTICA CHAPA CHAPA, ESPESSURA DE 30MM, FIXADO COM PERFIL U - 125x50x3MM E TIRANTE EM AÇO GALVANIZADO (COBERTURA 07).</v>
      </c>
      <c r="C175" s="1904"/>
      <c r="D175" s="1904"/>
      <c r="E175" s="1904"/>
      <c r="F175" s="1904"/>
      <c r="G175" s="1904"/>
      <c r="H175" s="1904"/>
      <c r="I175" s="1904"/>
      <c r="J175" s="1904"/>
      <c r="K175" s="1904"/>
    </row>
    <row r="176" spans="1:11" ht="13.5" thickBot="1" x14ac:dyDescent="0.25"/>
    <row r="177" spans="1:12" ht="13.5" thickBot="1" x14ac:dyDescent="0.25">
      <c r="B177" s="670" t="s">
        <v>250</v>
      </c>
      <c r="C177" s="671">
        <v>1</v>
      </c>
      <c r="D177" s="671" t="s">
        <v>96</v>
      </c>
    </row>
    <row r="178" spans="1:12" s="379" customFormat="1" x14ac:dyDescent="0.2">
      <c r="B178" s="845"/>
      <c r="C178" s="483"/>
    </row>
    <row r="179" spans="1:12" x14ac:dyDescent="0.2">
      <c r="A179" s="477" t="str">
        <f>ORÇ!A58</f>
        <v>5.8</v>
      </c>
      <c r="B179" s="1904" t="str">
        <f>ORÇ!D58</f>
        <v>EXECUÇÃO DE FURO, COM CAIXA EM CHAPA DE AÇO GALVANIZADA, INCLUINDO PINTURA METÁLICA E IMPERMEABILIZAÇÃO COM MANTA ASFÁLTICA.</v>
      </c>
      <c r="C179" s="1904"/>
      <c r="D179" s="1904"/>
      <c r="E179" s="1904"/>
      <c r="F179" s="1904"/>
      <c r="G179" s="1904"/>
      <c r="H179" s="1904"/>
      <c r="I179" s="1904"/>
      <c r="J179" s="1904"/>
      <c r="K179" s="1904"/>
    </row>
    <row r="180" spans="1:12" ht="13.5" thickBot="1" x14ac:dyDescent="0.25"/>
    <row r="181" spans="1:12" ht="13.5" thickBot="1" x14ac:dyDescent="0.25">
      <c r="B181" s="670" t="s">
        <v>250</v>
      </c>
      <c r="C181" s="671">
        <v>4</v>
      </c>
      <c r="D181" s="671" t="s">
        <v>96</v>
      </c>
    </row>
    <row r="182" spans="1:12" s="379" customFormat="1" x14ac:dyDescent="0.2">
      <c r="B182" s="845"/>
      <c r="C182" s="483"/>
    </row>
    <row r="183" spans="1:12" s="379" customFormat="1" x14ac:dyDescent="0.2">
      <c r="A183" s="477" t="str">
        <f>ORÇ!A59</f>
        <v>5.9</v>
      </c>
      <c r="B183" s="1904" t="str">
        <f>ORÇ!D59</f>
        <v>Platibanda</v>
      </c>
      <c r="C183" s="1904"/>
      <c r="D183" s="1904"/>
      <c r="E183" s="1904"/>
      <c r="F183" s="1904"/>
      <c r="G183" s="1904"/>
      <c r="H183" s="1904"/>
      <c r="I183" s="1904"/>
      <c r="J183" s="1904"/>
      <c r="K183" s="1904"/>
    </row>
    <row r="184" spans="1:12" ht="45.75" customHeight="1" x14ac:dyDescent="0.2">
      <c r="A184" s="448" t="str">
        <f>ORÇ!A60</f>
        <v>5.9.1</v>
      </c>
      <c r="B184" s="1904" t="str">
        <f>ORÇ!D60</f>
        <v>ALVENARIA DE VEDAÇÃO DE BLOCOS CERÂMICOS FURADOS NA HORIZONTAL DE 9X19X29 CM (ESPESSURA 9 CM) E ARGAMASSA DE ASSENTAMENTO COM PREPARO EM BETONEIRA. AF_12/2021</v>
      </c>
      <c r="C184" s="1904"/>
      <c r="D184" s="1904"/>
      <c r="E184" s="1904"/>
      <c r="F184" s="1904"/>
      <c r="G184" s="1904"/>
      <c r="H184" s="1904"/>
      <c r="I184" s="1904"/>
      <c r="J184" s="1904"/>
      <c r="K184" s="1904"/>
      <c r="L184" s="348"/>
    </row>
    <row r="185" spans="1:12" ht="13.5" thickBot="1" x14ac:dyDescent="0.25">
      <c r="A185" s="348"/>
      <c r="B185" s="399"/>
      <c r="C185" s="325"/>
      <c r="D185" s="399"/>
      <c r="E185" s="397"/>
      <c r="F185" s="398"/>
      <c r="G185" s="43"/>
      <c r="H185" s="19"/>
      <c r="I185" s="19"/>
      <c r="J185" s="33"/>
      <c r="K185" s="19"/>
    </row>
    <row r="186" spans="1:12" ht="13.5" thickBot="1" x14ac:dyDescent="0.25">
      <c r="A186" s="348"/>
      <c r="B186" s="1888" t="s">
        <v>627</v>
      </c>
      <c r="C186" s="1889"/>
      <c r="D186" s="399"/>
      <c r="E186" s="397"/>
      <c r="F186" s="398"/>
      <c r="G186" s="43"/>
      <c r="H186" s="19"/>
      <c r="I186" s="19"/>
      <c r="J186" s="33"/>
      <c r="K186" s="19"/>
    </row>
    <row r="187" spans="1:12" ht="13.5" thickBot="1" x14ac:dyDescent="0.25">
      <c r="A187" s="348"/>
      <c r="B187" s="399"/>
      <c r="C187" s="325"/>
      <c r="D187" s="399"/>
      <c r="E187" s="397"/>
      <c r="F187" s="398"/>
      <c r="G187" s="43"/>
      <c r="H187" s="19"/>
      <c r="I187" s="19"/>
      <c r="J187" s="33"/>
      <c r="K187" s="19"/>
    </row>
    <row r="188" spans="1:12" x14ac:dyDescent="0.2">
      <c r="A188" s="348"/>
      <c r="B188" s="1910" t="s">
        <v>254</v>
      </c>
      <c r="C188" s="1911"/>
      <c r="D188" s="1911"/>
      <c r="E188" s="1912"/>
    </row>
    <row r="189" spans="1:12" ht="13.5" thickBot="1" x14ac:dyDescent="0.25">
      <c r="A189" s="348"/>
      <c r="B189" s="478">
        <f>B96</f>
        <v>11.82</v>
      </c>
      <c r="C189" s="479">
        <f>C96</f>
        <v>6.85</v>
      </c>
      <c r="D189" s="479">
        <f>D96</f>
        <v>11.82</v>
      </c>
      <c r="E189" s="480">
        <f>E96</f>
        <v>6.85</v>
      </c>
    </row>
    <row r="190" spans="1:12" ht="13.5" thickBot="1" x14ac:dyDescent="0.25">
      <c r="A190" s="348"/>
      <c r="B190" s="399"/>
      <c r="C190" s="325"/>
      <c r="D190" s="399"/>
      <c r="E190" s="397"/>
      <c r="F190" s="398"/>
      <c r="G190" s="43"/>
      <c r="H190" s="19"/>
      <c r="I190" s="19"/>
      <c r="J190" s="33"/>
      <c r="K190" s="19"/>
    </row>
    <row r="191" spans="1:12" x14ac:dyDescent="0.2">
      <c r="B191" s="773"/>
      <c r="C191" s="774" t="s">
        <v>233</v>
      </c>
      <c r="D191" s="774"/>
      <c r="E191" s="774" t="s">
        <v>291</v>
      </c>
      <c r="F191" s="774"/>
      <c r="G191" s="1906" t="s">
        <v>86</v>
      </c>
      <c r="H191" s="1907"/>
    </row>
    <row r="192" spans="1:12" s="329" customFormat="1" ht="27" customHeight="1" thickBot="1" x14ac:dyDescent="0.25">
      <c r="B192" s="779" t="str">
        <f>B186</f>
        <v>Cobertura 1 - Platibanda</v>
      </c>
      <c r="C192" s="780">
        <f>SUM(B189:E189)</f>
        <v>37.340000000000003</v>
      </c>
      <c r="D192" s="781" t="s">
        <v>71</v>
      </c>
      <c r="E192" s="780">
        <v>2.2999999999999998</v>
      </c>
      <c r="F192" s="781" t="s">
        <v>72</v>
      </c>
      <c r="G192" s="780">
        <f>ROUND(C192*E192,2)</f>
        <v>85.88</v>
      </c>
      <c r="H192" s="782" t="s">
        <v>6</v>
      </c>
    </row>
    <row r="193" spans="2:10" ht="13.5" thickBot="1" x14ac:dyDescent="0.25"/>
    <row r="194" spans="2:10" ht="13.5" thickBot="1" x14ac:dyDescent="0.25">
      <c r="B194" s="1908" t="s">
        <v>628</v>
      </c>
      <c r="C194" s="1909"/>
      <c r="D194" s="399"/>
      <c r="E194" s="441"/>
      <c r="F194" s="442"/>
      <c r="G194" s="43"/>
      <c r="H194" s="19"/>
      <c r="I194" s="19"/>
      <c r="J194" s="33"/>
    </row>
    <row r="195" spans="2:10" ht="13.5" thickBot="1" x14ac:dyDescent="0.25">
      <c r="B195" s="399"/>
      <c r="C195" s="325"/>
      <c r="D195" s="399"/>
      <c r="E195" s="441"/>
      <c r="F195" s="442"/>
      <c r="G195" s="43"/>
      <c r="H195" s="19"/>
      <c r="I195" s="19"/>
      <c r="J195" s="33"/>
    </row>
    <row r="196" spans="2:10" ht="13.5" thickBot="1" x14ac:dyDescent="0.25">
      <c r="B196" s="1890" t="s">
        <v>254</v>
      </c>
      <c r="C196" s="1891"/>
      <c r="D196" s="1891"/>
      <c r="E196" s="1891"/>
      <c r="F196" s="1891"/>
      <c r="G196" s="1891"/>
      <c r="H196" s="1891"/>
      <c r="I196" s="1891"/>
      <c r="J196" s="1892"/>
    </row>
    <row r="197" spans="2:10" ht="13.5" thickBot="1" x14ac:dyDescent="0.25">
      <c r="B197" s="1333">
        <f>B104</f>
        <v>5.21</v>
      </c>
      <c r="C197" s="1334">
        <f>C104</f>
        <v>1.4</v>
      </c>
      <c r="D197" s="1334">
        <f t="shared" ref="D197:H197" si="5">D104</f>
        <v>7.36</v>
      </c>
      <c r="E197" s="1334">
        <f t="shared" si="5"/>
        <v>2.65</v>
      </c>
      <c r="F197" s="1334">
        <f t="shared" si="5"/>
        <v>5.15</v>
      </c>
      <c r="G197" s="1334">
        <f t="shared" si="5"/>
        <v>15.25</v>
      </c>
      <c r="H197" s="1334">
        <f t="shared" si="5"/>
        <v>7.15</v>
      </c>
      <c r="I197" s="1334">
        <f>I104</f>
        <v>13.1</v>
      </c>
      <c r="J197" s="1335"/>
    </row>
    <row r="198" spans="2:10" ht="13.5" thickBot="1" x14ac:dyDescent="0.25">
      <c r="B198" s="399"/>
      <c r="C198" s="325"/>
      <c r="D198" s="399"/>
      <c r="E198" s="441"/>
      <c r="F198" s="442"/>
      <c r="G198" s="43"/>
      <c r="H198" s="19"/>
      <c r="I198" s="19"/>
      <c r="J198" s="33"/>
    </row>
    <row r="199" spans="2:10" x14ac:dyDescent="0.2">
      <c r="B199" s="773"/>
      <c r="C199" s="774" t="s">
        <v>233</v>
      </c>
      <c r="D199" s="774"/>
      <c r="E199" s="774" t="s">
        <v>291</v>
      </c>
      <c r="F199" s="774"/>
      <c r="G199" s="1906" t="s">
        <v>86</v>
      </c>
      <c r="H199" s="1907"/>
    </row>
    <row r="200" spans="2:10" ht="26.25" thickBot="1" x14ac:dyDescent="0.25">
      <c r="B200" s="825" t="str">
        <f>B194</f>
        <v>Cobertura 2 - Platibanda</v>
      </c>
      <c r="C200" s="776">
        <f>SUM(B197:J197)</f>
        <v>57.269999999999996</v>
      </c>
      <c r="D200" s="777" t="s">
        <v>71</v>
      </c>
      <c r="E200" s="776">
        <v>2.2999999999999998</v>
      </c>
      <c r="F200" s="777" t="s">
        <v>72</v>
      </c>
      <c r="G200" s="776">
        <f>ROUND(C200*E200,2)</f>
        <v>131.72</v>
      </c>
      <c r="H200" s="778" t="s">
        <v>6</v>
      </c>
    </row>
    <row r="201" spans="2:10" s="379" customFormat="1" x14ac:dyDescent="0.2">
      <c r="B201" s="482"/>
      <c r="C201" s="483"/>
      <c r="D201" s="482"/>
      <c r="E201" s="483"/>
      <c r="F201" s="482"/>
      <c r="G201" s="483"/>
      <c r="H201" s="482"/>
    </row>
    <row r="202" spans="2:10" ht="13.5" thickBot="1" x14ac:dyDescent="0.25"/>
    <row r="203" spans="2:10" ht="13.5" thickBot="1" x14ac:dyDescent="0.25">
      <c r="B203" s="1888" t="s">
        <v>629</v>
      </c>
      <c r="C203" s="1889"/>
      <c r="D203" s="399"/>
      <c r="E203" s="441"/>
      <c r="F203" s="442"/>
      <c r="G203" s="43"/>
      <c r="H203" s="19"/>
      <c r="I203" s="19"/>
      <c r="J203" s="33"/>
    </row>
    <row r="204" spans="2:10" ht="13.5" thickBot="1" x14ac:dyDescent="0.25">
      <c r="B204" s="399"/>
      <c r="C204" s="325"/>
      <c r="D204" s="399"/>
      <c r="E204" s="441"/>
      <c r="F204" s="442"/>
      <c r="G204" s="43"/>
      <c r="H204" s="19"/>
      <c r="I204" s="19"/>
      <c r="J204" s="33"/>
    </row>
    <row r="205" spans="2:10" ht="13.5" thickBot="1" x14ac:dyDescent="0.25">
      <c r="B205" s="1890" t="s">
        <v>254</v>
      </c>
      <c r="C205" s="1891"/>
      <c r="D205" s="1891"/>
      <c r="E205" s="1891"/>
      <c r="F205" s="1891"/>
      <c r="G205" s="1891"/>
      <c r="H205" s="1891"/>
      <c r="I205" s="1891"/>
      <c r="J205" s="1892"/>
    </row>
    <row r="206" spans="2:10" ht="13.5" thickBot="1" x14ac:dyDescent="0.25">
      <c r="B206" s="1333">
        <f>B113</f>
        <v>27.15</v>
      </c>
      <c r="C206" s="1334">
        <f>C113</f>
        <v>4.55</v>
      </c>
      <c r="D206" s="1334">
        <f t="shared" ref="D206:H206" si="6">D113</f>
        <v>6</v>
      </c>
      <c r="E206" s="1334">
        <f t="shared" si="6"/>
        <v>11.5</v>
      </c>
      <c r="F206" s="1334">
        <f t="shared" si="6"/>
        <v>16.8</v>
      </c>
      <c r="G206" s="1334">
        <f t="shared" si="6"/>
        <v>11.35</v>
      </c>
      <c r="H206" s="1334">
        <f t="shared" si="6"/>
        <v>12.5</v>
      </c>
      <c r="I206" s="1334"/>
      <c r="J206" s="1335"/>
    </row>
    <row r="207" spans="2:10" x14ac:dyDescent="0.2">
      <c r="B207" s="769"/>
      <c r="C207" s="769"/>
      <c r="D207" s="769"/>
      <c r="E207" s="769"/>
      <c r="F207" s="769"/>
      <c r="G207" s="769"/>
      <c r="H207" s="769"/>
    </row>
    <row r="208" spans="2:10" ht="13.5" thickBot="1" x14ac:dyDescent="0.25">
      <c r="B208" s="399"/>
      <c r="C208" s="325"/>
      <c r="D208" s="399"/>
      <c r="E208" s="441"/>
      <c r="F208" s="442"/>
      <c r="G208" s="43"/>
      <c r="H208" s="19"/>
      <c r="I208" s="19"/>
      <c r="J208" s="33"/>
    </row>
    <row r="209" spans="2:10" x14ac:dyDescent="0.2">
      <c r="B209" s="773"/>
      <c r="C209" s="774" t="s">
        <v>233</v>
      </c>
      <c r="D209" s="774"/>
      <c r="E209" s="774" t="s">
        <v>291</v>
      </c>
      <c r="F209" s="774"/>
      <c r="G209" s="1906" t="s">
        <v>86</v>
      </c>
      <c r="H209" s="1907"/>
    </row>
    <row r="210" spans="2:10" ht="26.25" thickBot="1" x14ac:dyDescent="0.25">
      <c r="B210" s="826" t="str">
        <f>B203</f>
        <v>Cobertura 3 e 4 - Platibanda</v>
      </c>
      <c r="C210" s="776">
        <f>SUM(B206:J206)</f>
        <v>89.85</v>
      </c>
      <c r="D210" s="777" t="s">
        <v>71</v>
      </c>
      <c r="E210" s="776">
        <f>E200</f>
        <v>2.2999999999999998</v>
      </c>
      <c r="F210" s="777" t="s">
        <v>72</v>
      </c>
      <c r="G210" s="776">
        <f>ROUND(C210*E210,2)</f>
        <v>206.66</v>
      </c>
      <c r="H210" s="778" t="s">
        <v>6</v>
      </c>
    </row>
    <row r="211" spans="2:10" ht="13.5" thickBot="1" x14ac:dyDescent="0.25"/>
    <row r="212" spans="2:10" ht="13.5" thickBot="1" x14ac:dyDescent="0.25">
      <c r="B212" s="1888" t="s">
        <v>630</v>
      </c>
      <c r="C212" s="1889"/>
      <c r="D212" s="399"/>
      <c r="E212" s="755"/>
      <c r="F212" s="756"/>
      <c r="G212" s="43"/>
      <c r="H212" s="19"/>
      <c r="I212" s="19"/>
      <c r="J212" s="33"/>
    </row>
    <row r="213" spans="2:10" ht="13.5" thickBot="1" x14ac:dyDescent="0.25">
      <c r="B213" s="399"/>
      <c r="C213" s="325"/>
      <c r="D213" s="399"/>
      <c r="E213" s="755"/>
      <c r="F213" s="756"/>
      <c r="G213" s="43"/>
      <c r="H213" s="19"/>
      <c r="I213" s="19"/>
      <c r="J213" s="33"/>
    </row>
    <row r="214" spans="2:10" ht="13.5" thickBot="1" x14ac:dyDescent="0.25">
      <c r="B214" s="1890" t="s">
        <v>254</v>
      </c>
      <c r="C214" s="1891"/>
      <c r="D214" s="1891"/>
      <c r="E214" s="1891"/>
      <c r="F214" s="1891"/>
      <c r="G214" s="1891"/>
      <c r="H214" s="1892"/>
      <c r="I214" s="770"/>
      <c r="J214" s="770"/>
    </row>
    <row r="215" spans="2:10" ht="13.5" thickBot="1" x14ac:dyDescent="0.25">
      <c r="B215" s="783">
        <f>B122</f>
        <v>11.95</v>
      </c>
      <c r="C215" s="784">
        <f>C122</f>
        <v>11.6</v>
      </c>
      <c r="D215" s="784">
        <f t="shared" ref="D215:E215" si="7">D122</f>
        <v>11.95</v>
      </c>
      <c r="E215" s="784">
        <f t="shared" si="7"/>
        <v>11.6</v>
      </c>
      <c r="F215" s="784"/>
      <c r="G215" s="784"/>
      <c r="H215" s="785"/>
      <c r="I215" s="769"/>
      <c r="J215" s="769"/>
    </row>
    <row r="216" spans="2:10" x14ac:dyDescent="0.2">
      <c r="B216" s="769"/>
      <c r="C216" s="769"/>
      <c r="D216" s="769"/>
      <c r="E216" s="769"/>
      <c r="F216" s="769"/>
      <c r="G216" s="769"/>
      <c r="H216" s="769"/>
    </row>
    <row r="217" spans="2:10" ht="13.5" thickBot="1" x14ac:dyDescent="0.25">
      <c r="B217" s="399"/>
      <c r="C217" s="325"/>
      <c r="D217" s="399"/>
      <c r="E217" s="755"/>
      <c r="F217" s="756"/>
      <c r="G217" s="43"/>
      <c r="H217" s="19"/>
      <c r="I217" s="19"/>
      <c r="J217" s="33"/>
    </row>
    <row r="218" spans="2:10" x14ac:dyDescent="0.2">
      <c r="B218" s="773"/>
      <c r="C218" s="774" t="s">
        <v>233</v>
      </c>
      <c r="D218" s="774"/>
      <c r="E218" s="774" t="s">
        <v>291</v>
      </c>
      <c r="F218" s="774"/>
      <c r="G218" s="1906" t="s">
        <v>86</v>
      </c>
      <c r="H218" s="1907"/>
    </row>
    <row r="219" spans="2:10" ht="26.25" thickBot="1" x14ac:dyDescent="0.25">
      <c r="B219" s="826" t="str">
        <f>B212</f>
        <v>Cobertura 5 - Platibanda</v>
      </c>
      <c r="C219" s="776">
        <f>SUM(B215:H215)</f>
        <v>47.1</v>
      </c>
      <c r="D219" s="777" t="s">
        <v>71</v>
      </c>
      <c r="E219" s="776">
        <f>E210</f>
        <v>2.2999999999999998</v>
      </c>
      <c r="F219" s="777" t="s">
        <v>72</v>
      </c>
      <c r="G219" s="776">
        <f>ROUND(C219*E219,2)</f>
        <v>108.33</v>
      </c>
      <c r="H219" s="778" t="s">
        <v>6</v>
      </c>
    </row>
    <row r="221" spans="2:10" ht="13.5" customHeight="1" thickBot="1" x14ac:dyDescent="0.25"/>
    <row r="222" spans="2:10" ht="13.5" thickBot="1" x14ac:dyDescent="0.25">
      <c r="B222" s="1888" t="s">
        <v>1369</v>
      </c>
      <c r="C222" s="1889"/>
      <c r="D222" s="399"/>
      <c r="E222" s="1292"/>
      <c r="F222" s="1305"/>
      <c r="G222" s="43"/>
      <c r="H222" s="19"/>
    </row>
    <row r="223" spans="2:10" ht="13.5" thickBot="1" x14ac:dyDescent="0.25">
      <c r="B223" s="399"/>
      <c r="C223" s="325"/>
      <c r="D223" s="399"/>
      <c r="E223" s="1292"/>
      <c r="F223" s="1305"/>
      <c r="G223" s="43"/>
      <c r="H223" s="19"/>
    </row>
    <row r="224" spans="2:10" ht="13.5" thickBot="1" x14ac:dyDescent="0.25">
      <c r="B224" s="1890" t="s">
        <v>254</v>
      </c>
      <c r="C224" s="1891"/>
      <c r="D224" s="1891"/>
      <c r="E224" s="1891"/>
      <c r="F224" s="1891"/>
      <c r="G224" s="1891"/>
      <c r="H224" s="1892"/>
    </row>
    <row r="225" spans="2:8" ht="13.5" thickBot="1" x14ac:dyDescent="0.25">
      <c r="B225" s="783">
        <f>B130</f>
        <v>3.5</v>
      </c>
      <c r="C225" s="784">
        <f>C130</f>
        <v>1.45</v>
      </c>
      <c r="D225" s="784">
        <f t="shared" ref="D225:F225" si="8">D130</f>
        <v>14.200000000000001</v>
      </c>
      <c r="E225" s="784">
        <f t="shared" si="8"/>
        <v>1.45</v>
      </c>
      <c r="F225" s="784">
        <f t="shared" si="8"/>
        <v>3.5</v>
      </c>
      <c r="G225" s="784"/>
      <c r="H225" s="785"/>
    </row>
    <row r="226" spans="2:8" x14ac:dyDescent="0.2">
      <c r="B226" s="769"/>
      <c r="C226" s="769"/>
      <c r="D226" s="769"/>
      <c r="E226" s="769"/>
      <c r="F226" s="769"/>
      <c r="G226" s="769"/>
      <c r="H226" s="769"/>
    </row>
    <row r="227" spans="2:8" ht="13.5" thickBot="1" x14ac:dyDescent="0.25">
      <c r="B227" s="399"/>
      <c r="C227" s="325"/>
      <c r="D227" s="399"/>
      <c r="E227" s="1292"/>
      <c r="F227" s="1305"/>
      <c r="G227" s="43"/>
      <c r="H227" s="19"/>
    </row>
    <row r="228" spans="2:8" x14ac:dyDescent="0.2">
      <c r="B228" s="773"/>
      <c r="C228" s="1300" t="s">
        <v>233</v>
      </c>
      <c r="D228" s="1300"/>
      <c r="E228" s="1300" t="s">
        <v>291</v>
      </c>
      <c r="F228" s="1300"/>
      <c r="G228" s="1906" t="s">
        <v>86</v>
      </c>
      <c r="H228" s="1907"/>
    </row>
    <row r="229" spans="2:8" ht="26.25" thickBot="1" x14ac:dyDescent="0.25">
      <c r="B229" s="826" t="str">
        <f>B222</f>
        <v>Cobertura 6 - Platibanda</v>
      </c>
      <c r="C229" s="776">
        <f>SUM(B225:H225)</f>
        <v>24.1</v>
      </c>
      <c r="D229" s="777" t="s">
        <v>71</v>
      </c>
      <c r="E229" s="776">
        <f>E219</f>
        <v>2.2999999999999998</v>
      </c>
      <c r="F229" s="777" t="s">
        <v>72</v>
      </c>
      <c r="G229" s="776">
        <f>ROUND(C229*E229,2)</f>
        <v>55.43</v>
      </c>
      <c r="H229" s="778" t="s">
        <v>6</v>
      </c>
    </row>
    <row r="232" spans="2:8" x14ac:dyDescent="0.2">
      <c r="B232" s="1905" t="s">
        <v>631</v>
      </c>
      <c r="C232" s="1905"/>
      <c r="D232" s="1905"/>
    </row>
    <row r="233" spans="2:8" x14ac:dyDescent="0.2">
      <c r="B233" s="331" t="s">
        <v>638</v>
      </c>
      <c r="C233" s="331"/>
      <c r="D233" s="331"/>
      <c r="F233" s="620" t="s">
        <v>255</v>
      </c>
    </row>
    <row r="234" spans="2:8" x14ac:dyDescent="0.2">
      <c r="B234" s="662">
        <v>22.84</v>
      </c>
      <c r="C234" s="662"/>
      <c r="D234" s="662"/>
      <c r="F234" s="662">
        <f>SUM(B234:D234)</f>
        <v>22.84</v>
      </c>
    </row>
    <row r="236" spans="2:8" x14ac:dyDescent="0.2">
      <c r="B236" s="1905" t="s">
        <v>631</v>
      </c>
      <c r="C236" s="1905"/>
      <c r="D236" s="1905"/>
    </row>
    <row r="237" spans="2:8" x14ac:dyDescent="0.2">
      <c r="B237" s="1902" t="s">
        <v>632</v>
      </c>
      <c r="C237" s="1902"/>
      <c r="D237" s="1902"/>
      <c r="F237" s="620" t="s">
        <v>255</v>
      </c>
    </row>
    <row r="238" spans="2:8" x14ac:dyDescent="0.2">
      <c r="B238" s="662">
        <v>49.16</v>
      </c>
      <c r="C238" s="662">
        <v>4.6500000000000004</v>
      </c>
      <c r="D238" s="662">
        <v>0.85</v>
      </c>
      <c r="F238" s="662">
        <f>SUM(B238:D238)</f>
        <v>54.66</v>
      </c>
    </row>
    <row r="240" spans="2:8" x14ac:dyDescent="0.2">
      <c r="B240" s="1905" t="s">
        <v>631</v>
      </c>
      <c r="C240" s="1905"/>
      <c r="D240" s="1905"/>
    </row>
    <row r="241" spans="1:12" x14ac:dyDescent="0.2">
      <c r="B241" s="1902" t="s">
        <v>633</v>
      </c>
      <c r="C241" s="1902"/>
      <c r="D241" s="331"/>
      <c r="F241" s="620" t="s">
        <v>255</v>
      </c>
    </row>
    <row r="242" spans="1:12" x14ac:dyDescent="0.2">
      <c r="B242" s="662">
        <v>18.21</v>
      </c>
      <c r="C242" s="495">
        <v>22.3</v>
      </c>
      <c r="D242" s="662"/>
      <c r="F242" s="662">
        <f>SUM(B242:C242)</f>
        <v>40.510000000000005</v>
      </c>
    </row>
    <row r="244" spans="1:12" x14ac:dyDescent="0.2">
      <c r="B244" s="1905" t="s">
        <v>631</v>
      </c>
      <c r="C244" s="1905"/>
      <c r="D244" s="1905"/>
    </row>
    <row r="245" spans="1:12" x14ac:dyDescent="0.2">
      <c r="B245" s="331" t="s">
        <v>634</v>
      </c>
      <c r="C245" s="331"/>
      <c r="D245" s="331"/>
      <c r="F245" s="620" t="s">
        <v>255</v>
      </c>
    </row>
    <row r="246" spans="1:12" x14ac:dyDescent="0.2">
      <c r="B246" s="662">
        <v>33.65</v>
      </c>
      <c r="C246" s="495"/>
      <c r="D246" s="662"/>
      <c r="F246" s="662">
        <f>SUM(B246:C246)</f>
        <v>33.65</v>
      </c>
    </row>
    <row r="248" spans="1:12" x14ac:dyDescent="0.2">
      <c r="B248" s="1905" t="s">
        <v>631</v>
      </c>
      <c r="C248" s="1905"/>
      <c r="D248" s="1905"/>
    </row>
    <row r="249" spans="1:12" x14ac:dyDescent="0.2">
      <c r="B249" s="1902" t="s">
        <v>639</v>
      </c>
      <c r="C249" s="1902"/>
      <c r="D249" s="1902"/>
      <c r="F249" s="620" t="s">
        <v>255</v>
      </c>
    </row>
    <row r="250" spans="1:12" x14ac:dyDescent="0.2">
      <c r="B250" s="662">
        <v>9.65</v>
      </c>
      <c r="C250" s="495">
        <v>3</v>
      </c>
      <c r="D250" s="662">
        <v>1.45</v>
      </c>
      <c r="F250" s="495">
        <f>SUM(B250:D250)</f>
        <v>14.1</v>
      </c>
    </row>
    <row r="251" spans="1:12" ht="12" customHeight="1" x14ac:dyDescent="0.2"/>
    <row r="252" spans="1:12" x14ac:dyDescent="0.2">
      <c r="B252" s="662"/>
      <c r="C252" s="620" t="s">
        <v>596</v>
      </c>
      <c r="D252" s="662"/>
      <c r="E252" s="620" t="s">
        <v>583</v>
      </c>
      <c r="F252" s="662"/>
      <c r="G252" s="620" t="s">
        <v>263</v>
      </c>
    </row>
    <row r="253" spans="1:12" ht="25.5" x14ac:dyDescent="0.2">
      <c r="B253" s="679" t="s">
        <v>635</v>
      </c>
      <c r="C253" s="495">
        <f>F250+F246+F242+F238+F234</f>
        <v>165.76000000000002</v>
      </c>
      <c r="D253" s="620" t="s">
        <v>71</v>
      </c>
      <c r="E253" s="662">
        <v>0.18</v>
      </c>
      <c r="F253" s="620" t="s">
        <v>72</v>
      </c>
      <c r="G253" s="662">
        <f>ROUND(C253*E253,2)</f>
        <v>29.84</v>
      </c>
    </row>
    <row r="256" spans="1:12" s="757" customFormat="1" ht="38.25" customHeight="1" x14ac:dyDescent="0.2">
      <c r="A256" s="828"/>
      <c r="B256" s="829" t="str">
        <f>B186</f>
        <v>Cobertura 1 - Platibanda</v>
      </c>
      <c r="C256" s="830"/>
      <c r="D256" s="829" t="str">
        <f>B194</f>
        <v>Cobertura 2 - Platibanda</v>
      </c>
      <c r="E256" s="830"/>
      <c r="F256" s="829" t="str">
        <f>B203</f>
        <v>Cobertura 3 e 4 - Platibanda</v>
      </c>
      <c r="G256" s="830"/>
      <c r="H256" s="829" t="str">
        <f>B212</f>
        <v>Cobertura 5 - Platibanda</v>
      </c>
      <c r="I256" s="830"/>
      <c r="J256" s="829" t="str">
        <f>B222</f>
        <v>Cobertura 6 - Platibanda</v>
      </c>
      <c r="K256" s="831"/>
      <c r="L256" s="832" t="str">
        <f>B253</f>
        <v>Total de alvenaria para calha</v>
      </c>
    </row>
    <row r="257" spans="1:12" s="757" customFormat="1" ht="25.5" x14ac:dyDescent="0.2">
      <c r="A257" s="841" t="s">
        <v>637</v>
      </c>
      <c r="B257" s="532">
        <f>G192</f>
        <v>85.88</v>
      </c>
      <c r="C257" s="1304" t="s">
        <v>75</v>
      </c>
      <c r="D257" s="532">
        <f>G200</f>
        <v>131.72</v>
      </c>
      <c r="E257" s="1304" t="s">
        <v>75</v>
      </c>
      <c r="F257" s="532">
        <f>G210</f>
        <v>206.66</v>
      </c>
      <c r="G257" s="1304" t="s">
        <v>75</v>
      </c>
      <c r="H257" s="532">
        <f>G219</f>
        <v>108.33</v>
      </c>
      <c r="I257" s="1304" t="s">
        <v>75</v>
      </c>
      <c r="J257" s="532">
        <f>G229</f>
        <v>55.43</v>
      </c>
      <c r="K257" s="1304" t="s">
        <v>75</v>
      </c>
      <c r="L257" s="833">
        <f>G253</f>
        <v>29.84</v>
      </c>
    </row>
    <row r="258" spans="1:12" x14ac:dyDescent="0.2">
      <c r="A258" s="83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835"/>
    </row>
    <row r="259" spans="1:12" x14ac:dyDescent="0.2">
      <c r="A259" s="834"/>
      <c r="B259" s="1304"/>
      <c r="C259" s="1336" t="s">
        <v>263</v>
      </c>
      <c r="D259" s="124"/>
      <c r="E259" s="124"/>
      <c r="F259" s="124"/>
      <c r="G259" s="124"/>
      <c r="H259" s="124"/>
      <c r="I259" s="124"/>
      <c r="J259" s="124"/>
      <c r="K259" s="124"/>
      <c r="L259" s="835"/>
    </row>
    <row r="260" spans="1:12" x14ac:dyDescent="0.2">
      <c r="A260" s="836"/>
      <c r="B260" s="837" t="s">
        <v>72</v>
      </c>
      <c r="C260" s="1337">
        <f>SUM(B257:L257)</f>
        <v>617.86</v>
      </c>
      <c r="D260" s="839"/>
      <c r="E260" s="839"/>
      <c r="F260" s="839"/>
      <c r="G260" s="839"/>
      <c r="H260" s="839"/>
      <c r="I260" s="839"/>
      <c r="J260" s="839"/>
      <c r="K260" s="839"/>
      <c r="L260" s="840"/>
    </row>
    <row r="262" spans="1:12" ht="25.5" customHeight="1" x14ac:dyDescent="0.2">
      <c r="A262" s="816" t="str">
        <f>ORÇ!A61</f>
        <v>5.9.2</v>
      </c>
      <c r="B262" s="1904" t="str">
        <f>ORÇ!D61</f>
        <v>CHAPISCO APLICADO EM ALVENARIAS E ESTRUTURAS DE CONCRETO INTERNAS, COM COLHER DE PEDREIRO. ARGAMASSA TRAÇO 1:3 COM PREPARO MANUAL. AF_06/2014</v>
      </c>
      <c r="C262" s="1904"/>
      <c r="D262" s="1904"/>
      <c r="E262" s="1904"/>
      <c r="F262" s="1904"/>
      <c r="G262" s="1904"/>
      <c r="H262" s="1904"/>
      <c r="I262" s="1904"/>
      <c r="J262" s="1904"/>
      <c r="K262" s="1904"/>
    </row>
    <row r="264" spans="1:12" x14ac:dyDescent="0.2">
      <c r="B264" s="814"/>
      <c r="C264" s="620" t="str">
        <f>A257</f>
        <v>Alvenaria p/ cobertura</v>
      </c>
      <c r="D264" s="662"/>
      <c r="E264" s="620" t="s">
        <v>521</v>
      </c>
      <c r="F264" s="662"/>
      <c r="G264" s="620" t="s">
        <v>263</v>
      </c>
    </row>
    <row r="265" spans="1:12" x14ac:dyDescent="0.2">
      <c r="B265" s="813" t="s">
        <v>636</v>
      </c>
      <c r="C265" s="495">
        <f>C260</f>
        <v>617.86</v>
      </c>
      <c r="D265" s="813" t="s">
        <v>71</v>
      </c>
      <c r="E265" s="339">
        <v>2</v>
      </c>
      <c r="F265" s="813" t="s">
        <v>72</v>
      </c>
      <c r="G265" s="339">
        <f>ROUND(C265*E265,2)</f>
        <v>1235.72</v>
      </c>
    </row>
    <row r="267" spans="1:12" ht="47.25" customHeight="1" x14ac:dyDescent="0.2">
      <c r="A267" s="816" t="str">
        <f>ORÇ!A62</f>
        <v>5.9.3</v>
      </c>
      <c r="B267" s="1904" t="str">
        <f>ORÇ!D62</f>
        <v>MASSA ÚNICA, PARA RECEBIMENTO DE PINTURA, EM ARGAMASSA TRAÇO 1:2:8, PREPARO MECÂNICO COM BETONEIRA 400L, APLICADA MANUALMENTE EM FACES INTERNAS DE PAREDES, ESPESSURA DE 10MM, COM EXECUÇÃO DE TALISCAS. AF_06/2014</v>
      </c>
      <c r="C267" s="1904"/>
      <c r="D267" s="1904"/>
      <c r="E267" s="1904"/>
      <c r="F267" s="1904"/>
      <c r="G267" s="1904"/>
      <c r="H267" s="1904"/>
      <c r="I267" s="1904"/>
      <c r="J267" s="1904"/>
      <c r="K267" s="1904"/>
    </row>
    <row r="269" spans="1:12" x14ac:dyDescent="0.2">
      <c r="B269" s="814"/>
      <c r="C269" s="620" t="str">
        <f>C264</f>
        <v>Alvenaria p/ cobertura</v>
      </c>
      <c r="D269" s="662"/>
      <c r="E269" s="620" t="s">
        <v>521</v>
      </c>
      <c r="F269" s="662"/>
      <c r="G269" s="620" t="s">
        <v>263</v>
      </c>
    </row>
    <row r="270" spans="1:12" x14ac:dyDescent="0.2">
      <c r="B270" s="813" t="s">
        <v>636</v>
      </c>
      <c r="C270" s="495">
        <f>C265</f>
        <v>617.86</v>
      </c>
      <c r="D270" s="813" t="s">
        <v>71</v>
      </c>
      <c r="E270" s="339">
        <v>2</v>
      </c>
      <c r="F270" s="813" t="s">
        <v>72</v>
      </c>
      <c r="G270" s="339">
        <f>ROUND(C270*E270,2)</f>
        <v>1235.72</v>
      </c>
    </row>
    <row r="272" spans="1:12" x14ac:dyDescent="0.2">
      <c r="A272" s="816" t="str">
        <f>ORÇ!A63</f>
        <v>5.9.4</v>
      </c>
      <c r="B272" s="1904" t="str">
        <f>ORÇ!D63</f>
        <v>APLICAÇÃO DE FUNDO SELADOR ACRÍLICO EM PAREDES, UMA DEMÃO. AF_06/2014</v>
      </c>
      <c r="C272" s="1904"/>
      <c r="D272" s="1904"/>
      <c r="E272" s="1904"/>
      <c r="F272" s="1904"/>
      <c r="G272" s="1904"/>
      <c r="H272" s="1904"/>
      <c r="I272" s="1904"/>
      <c r="J272" s="1904"/>
      <c r="K272" s="1904"/>
    </row>
    <row r="274" spans="1:11" x14ac:dyDescent="0.2">
      <c r="B274" s="814"/>
      <c r="C274" s="620" t="str">
        <f>C269</f>
        <v>Alvenaria p/ cobertura</v>
      </c>
      <c r="D274" s="662"/>
      <c r="E274" s="620" t="s">
        <v>521</v>
      </c>
      <c r="F274" s="662"/>
      <c r="G274" s="620" t="s">
        <v>263</v>
      </c>
    </row>
    <row r="275" spans="1:11" x14ac:dyDescent="0.2">
      <c r="B275" s="813" t="s">
        <v>636</v>
      </c>
      <c r="C275" s="495">
        <f>C270</f>
        <v>617.86</v>
      </c>
      <c r="D275" s="813" t="s">
        <v>71</v>
      </c>
      <c r="E275" s="339">
        <v>2</v>
      </c>
      <c r="F275" s="813" t="s">
        <v>72</v>
      </c>
      <c r="G275" s="339">
        <f>ROUND(C275*E275,2)</f>
        <v>1235.72</v>
      </c>
    </row>
    <row r="278" spans="1:11" x14ac:dyDescent="0.2">
      <c r="A278" s="816" t="str">
        <f>ORÇ!A64</f>
        <v>5.9.5</v>
      </c>
      <c r="B278" s="1904" t="str">
        <f>ORÇ!D64</f>
        <v>APLICAÇÃO MANUAL DE PINTURA COM TINTA LÁTEX ACRÍLICA EM PAREDES, DUAS DEMÃOS. AF_06/2014</v>
      </c>
      <c r="C278" s="1904"/>
      <c r="D278" s="1904"/>
      <c r="E278" s="1904"/>
      <c r="F278" s="1904"/>
      <c r="G278" s="1904"/>
      <c r="H278" s="1904"/>
      <c r="I278" s="1904"/>
      <c r="J278" s="1904"/>
      <c r="K278" s="1904"/>
    </row>
    <row r="280" spans="1:11" x14ac:dyDescent="0.2">
      <c r="B280" s="814"/>
      <c r="C280" s="620" t="str">
        <f>C274</f>
        <v>Alvenaria p/ cobertura</v>
      </c>
      <c r="D280" s="662"/>
      <c r="E280" s="620" t="s">
        <v>521</v>
      </c>
      <c r="F280" s="662"/>
      <c r="G280" s="620" t="s">
        <v>263</v>
      </c>
    </row>
    <row r="281" spans="1:11" x14ac:dyDescent="0.2">
      <c r="B281" s="813" t="s">
        <v>636</v>
      </c>
      <c r="C281" s="495">
        <f>C275</f>
        <v>617.86</v>
      </c>
      <c r="D281" s="813" t="s">
        <v>71</v>
      </c>
      <c r="E281" s="339">
        <v>2</v>
      </c>
      <c r="F281" s="813" t="s">
        <v>72</v>
      </c>
      <c r="G281" s="339">
        <f>ROUND(C281*E281,2)</f>
        <v>1235.72</v>
      </c>
    </row>
    <row r="283" spans="1:11" ht="33" customHeight="1" x14ac:dyDescent="0.2">
      <c r="A283" s="477" t="str">
        <f>ORÇ!A65</f>
        <v>5.9.6</v>
      </c>
      <c r="B283" s="1904" t="str">
        <f>ORÇ!D65</f>
        <v>PROTEÇÃO MECÂNICA DE SUPERFÍCIE HORIZONTAL COM ARGAMASSA DE CIMENTO E AREIA, TRAÇO 1:3, E=2CM. AF_06/2018</v>
      </c>
      <c r="C283" s="1904"/>
      <c r="D283" s="1904"/>
      <c r="E283" s="1904"/>
      <c r="F283" s="1904"/>
      <c r="G283" s="1904"/>
      <c r="H283" s="1904"/>
      <c r="I283" s="1904"/>
      <c r="J283" s="1904"/>
      <c r="K283" s="1904"/>
    </row>
    <row r="284" spans="1:11" x14ac:dyDescent="0.2">
      <c r="A284" s="477"/>
      <c r="B284" s="1904" t="s">
        <v>640</v>
      </c>
      <c r="C284" s="1904"/>
      <c r="D284" s="1904"/>
      <c r="E284" s="1904"/>
      <c r="F284" s="1904"/>
      <c r="G284" s="1904"/>
      <c r="H284" s="1904"/>
      <c r="I284" s="1904"/>
      <c r="J284" s="1904"/>
      <c r="K284" s="815"/>
    </row>
    <row r="286" spans="1:11" x14ac:dyDescent="0.2">
      <c r="B286" s="887" t="s">
        <v>224</v>
      </c>
      <c r="C286" s="887" t="s">
        <v>225</v>
      </c>
      <c r="D286" s="672"/>
      <c r="E286" s="887" t="s">
        <v>331</v>
      </c>
      <c r="F286" s="888"/>
      <c r="G286" s="887" t="s">
        <v>335</v>
      </c>
    </row>
    <row r="287" spans="1:11" x14ac:dyDescent="0.2">
      <c r="B287" s="1691" t="s">
        <v>802</v>
      </c>
      <c r="C287" s="577">
        <v>4.5999999999999996</v>
      </c>
      <c r="D287" s="887" t="s">
        <v>71</v>
      </c>
      <c r="E287" s="888">
        <v>0.65</v>
      </c>
      <c r="F287" s="887" t="s">
        <v>72</v>
      </c>
      <c r="G287" s="672">
        <f t="shared" ref="G287:G295" si="9">ROUND(C287*E287,2)</f>
        <v>2.99</v>
      </c>
    </row>
    <row r="288" spans="1:11" x14ac:dyDescent="0.2">
      <c r="B288" s="1691"/>
      <c r="C288" s="577">
        <v>18.2</v>
      </c>
      <c r="D288" s="887" t="s">
        <v>71</v>
      </c>
      <c r="E288" s="888">
        <v>0.65</v>
      </c>
      <c r="F288" s="887" t="s">
        <v>72</v>
      </c>
      <c r="G288" s="672">
        <f t="shared" si="9"/>
        <v>11.83</v>
      </c>
    </row>
    <row r="289" spans="2:7" x14ac:dyDescent="0.2">
      <c r="B289" s="1691"/>
      <c r="C289" s="577">
        <v>11.55</v>
      </c>
      <c r="D289" s="887" t="s">
        <v>71</v>
      </c>
      <c r="E289" s="888">
        <v>0.65</v>
      </c>
      <c r="F289" s="887" t="s">
        <v>72</v>
      </c>
      <c r="G289" s="672">
        <f t="shared" si="9"/>
        <v>7.51</v>
      </c>
    </row>
    <row r="290" spans="2:7" x14ac:dyDescent="0.2">
      <c r="B290" s="1691"/>
      <c r="C290" s="577">
        <v>18.350000000000001</v>
      </c>
      <c r="D290" s="887" t="s">
        <v>71</v>
      </c>
      <c r="E290" s="888">
        <v>0.65</v>
      </c>
      <c r="F290" s="887" t="s">
        <v>72</v>
      </c>
      <c r="G290" s="672">
        <f t="shared" si="9"/>
        <v>11.93</v>
      </c>
    </row>
    <row r="291" spans="2:7" x14ac:dyDescent="0.2">
      <c r="B291" s="1691" t="s">
        <v>803</v>
      </c>
      <c r="C291" s="577">
        <v>22.3</v>
      </c>
      <c r="D291" s="887" t="s">
        <v>71</v>
      </c>
      <c r="E291" s="888">
        <v>0.65</v>
      </c>
      <c r="F291" s="887" t="s">
        <v>72</v>
      </c>
      <c r="G291" s="672">
        <f t="shared" si="9"/>
        <v>14.5</v>
      </c>
    </row>
    <row r="292" spans="2:7" x14ac:dyDescent="0.2">
      <c r="B292" s="1691"/>
      <c r="C292" s="577">
        <v>11.55</v>
      </c>
      <c r="D292" s="887" t="s">
        <v>71</v>
      </c>
      <c r="E292" s="888">
        <v>0.65</v>
      </c>
      <c r="F292" s="887" t="s">
        <v>72</v>
      </c>
      <c r="G292" s="672">
        <f t="shared" si="9"/>
        <v>7.51</v>
      </c>
    </row>
    <row r="293" spans="2:7" x14ac:dyDescent="0.2">
      <c r="B293" s="1691"/>
      <c r="C293" s="577">
        <v>3.5</v>
      </c>
      <c r="D293" s="887" t="s">
        <v>71</v>
      </c>
      <c r="E293" s="888">
        <v>0.65</v>
      </c>
      <c r="F293" s="887" t="s">
        <v>72</v>
      </c>
      <c r="G293" s="672">
        <f t="shared" si="9"/>
        <v>2.2799999999999998</v>
      </c>
    </row>
    <row r="294" spans="2:7" x14ac:dyDescent="0.2">
      <c r="B294" s="1691"/>
      <c r="C294" s="577">
        <v>1.45</v>
      </c>
      <c r="D294" s="887" t="s">
        <v>71</v>
      </c>
      <c r="E294" s="888">
        <v>0.65</v>
      </c>
      <c r="F294" s="887" t="s">
        <v>72</v>
      </c>
      <c r="G294" s="672">
        <f t="shared" si="9"/>
        <v>0.94</v>
      </c>
    </row>
    <row r="295" spans="2:7" x14ac:dyDescent="0.2">
      <c r="B295" s="1691"/>
      <c r="C295" s="577">
        <v>9.15</v>
      </c>
      <c r="D295" s="887" t="s">
        <v>71</v>
      </c>
      <c r="E295" s="888">
        <v>0.65</v>
      </c>
      <c r="F295" s="887" t="s">
        <v>72</v>
      </c>
      <c r="G295" s="672">
        <f t="shared" si="9"/>
        <v>5.95</v>
      </c>
    </row>
    <row r="297" spans="2:7" ht="13.5" thickBot="1" x14ac:dyDescent="0.25"/>
    <row r="298" spans="2:7" ht="13.5" thickBot="1" x14ac:dyDescent="0.25">
      <c r="B298" s="670" t="s">
        <v>382</v>
      </c>
      <c r="C298" s="671">
        <f>SUM(G287:G295)</f>
        <v>65.44</v>
      </c>
    </row>
  </sheetData>
  <mergeCells count="136">
    <mergeCell ref="B287:B290"/>
    <mergeCell ref="B291:B295"/>
    <mergeCell ref="B4:K4"/>
    <mergeCell ref="B5:D5"/>
    <mergeCell ref="E5:F6"/>
    <mergeCell ref="G5:K6"/>
    <mergeCell ref="A9:K9"/>
    <mergeCell ref="A10:K10"/>
    <mergeCell ref="A11:K11"/>
    <mergeCell ref="B14:K14"/>
    <mergeCell ref="B186:C186"/>
    <mergeCell ref="B184:K184"/>
    <mergeCell ref="B40:K40"/>
    <mergeCell ref="B53:K53"/>
    <mergeCell ref="A6:A7"/>
    <mergeCell ref="B6:D7"/>
    <mergeCell ref="E7:F7"/>
    <mergeCell ref="G7:K7"/>
    <mergeCell ref="B284:J284"/>
    <mergeCell ref="B272:K272"/>
    <mergeCell ref="B278:K278"/>
    <mergeCell ref="B232:D232"/>
    <mergeCell ref="B283:K283"/>
    <mergeCell ref="G199:H199"/>
    <mergeCell ref="A1:K1"/>
    <mergeCell ref="B2:F2"/>
    <mergeCell ref="G2:H2"/>
    <mergeCell ref="I2:K2"/>
    <mergeCell ref="B3:K3"/>
    <mergeCell ref="B196:J196"/>
    <mergeCell ref="B188:E188"/>
    <mergeCell ref="B91:K91"/>
    <mergeCell ref="B93:C93"/>
    <mergeCell ref="B95:E95"/>
    <mergeCell ref="B101:C101"/>
    <mergeCell ref="B103:J103"/>
    <mergeCell ref="B119:C119"/>
    <mergeCell ref="B121:H121"/>
    <mergeCell ref="B148:G148"/>
    <mergeCell ref="B168:E168"/>
    <mergeCell ref="B179:K179"/>
    <mergeCell ref="B183:K183"/>
    <mergeCell ref="B110:C110"/>
    <mergeCell ref="B112:J112"/>
    <mergeCell ref="B139:K139"/>
    <mergeCell ref="B155:E155"/>
    <mergeCell ref="B27:K27"/>
    <mergeCell ref="B79:D79"/>
    <mergeCell ref="B262:K262"/>
    <mergeCell ref="B267:K267"/>
    <mergeCell ref="B240:D240"/>
    <mergeCell ref="B241:C241"/>
    <mergeCell ref="B244:D244"/>
    <mergeCell ref="B248:D248"/>
    <mergeCell ref="B249:D249"/>
    <mergeCell ref="B161:F161"/>
    <mergeCell ref="B175:K175"/>
    <mergeCell ref="B205:J205"/>
    <mergeCell ref="B212:C212"/>
    <mergeCell ref="G218:H218"/>
    <mergeCell ref="B214:H214"/>
    <mergeCell ref="B203:C203"/>
    <mergeCell ref="G209:H209"/>
    <mergeCell ref="G191:H191"/>
    <mergeCell ref="B194:C194"/>
    <mergeCell ref="B236:D236"/>
    <mergeCell ref="G228:H228"/>
    <mergeCell ref="B86:D86"/>
    <mergeCell ref="B237:D237"/>
    <mergeCell ref="B56:D56"/>
    <mergeCell ref="B73:D73"/>
    <mergeCell ref="B74:D74"/>
    <mergeCell ref="B75:D75"/>
    <mergeCell ref="B76:D76"/>
    <mergeCell ref="B77:D77"/>
    <mergeCell ref="B67:D67"/>
    <mergeCell ref="B82:D82"/>
    <mergeCell ref="B83:D83"/>
    <mergeCell ref="B84:D84"/>
    <mergeCell ref="B85:D85"/>
    <mergeCell ref="B78:D78"/>
    <mergeCell ref="B80:D80"/>
    <mergeCell ref="B81:D81"/>
    <mergeCell ref="B66:D66"/>
    <mergeCell ref="B68:D68"/>
    <mergeCell ref="B69:D69"/>
    <mergeCell ref="B70:D70"/>
    <mergeCell ref="B71:D71"/>
    <mergeCell ref="B72:D72"/>
    <mergeCell ref="B65:D65"/>
    <mergeCell ref="B142:D142"/>
    <mergeCell ref="B55:D55"/>
    <mergeCell ref="B57:D57"/>
    <mergeCell ref="B58:D58"/>
    <mergeCell ref="B59:D59"/>
    <mergeCell ref="B60:D60"/>
    <mergeCell ref="B61:D61"/>
    <mergeCell ref="B62:D62"/>
    <mergeCell ref="B63:D63"/>
    <mergeCell ref="B64:D64"/>
    <mergeCell ref="H74:J74"/>
    <mergeCell ref="H81:J81"/>
    <mergeCell ref="H82:J82"/>
    <mergeCell ref="H83:J83"/>
    <mergeCell ref="H84:J84"/>
    <mergeCell ref="H85:J85"/>
    <mergeCell ref="H75:J75"/>
    <mergeCell ref="H76:J76"/>
    <mergeCell ref="H77:J77"/>
    <mergeCell ref="H78:J78"/>
    <mergeCell ref="H79:J79"/>
    <mergeCell ref="H80:J80"/>
    <mergeCell ref="B127:C127"/>
    <mergeCell ref="B129:H129"/>
    <mergeCell ref="B222:C222"/>
    <mergeCell ref="B224:H224"/>
    <mergeCell ref="H86:J86"/>
    <mergeCell ref="H55:J55"/>
    <mergeCell ref="H56:J56"/>
    <mergeCell ref="H57:J57"/>
    <mergeCell ref="H58:J58"/>
    <mergeCell ref="H59:J59"/>
    <mergeCell ref="H60:J60"/>
    <mergeCell ref="H61:J61"/>
    <mergeCell ref="H62:J62"/>
    <mergeCell ref="H63:J63"/>
    <mergeCell ref="H64:J64"/>
    <mergeCell ref="H65:J65"/>
    <mergeCell ref="H66:J66"/>
    <mergeCell ref="H67:J67"/>
    <mergeCell ref="H68:J68"/>
    <mergeCell ref="H69:J69"/>
    <mergeCell ref="H70:J70"/>
    <mergeCell ref="H71:J71"/>
    <mergeCell ref="H72:J72"/>
    <mergeCell ref="H73:J73"/>
  </mergeCells>
  <phoneticPr fontId="32" type="noConversion"/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2" manualBreakCount="2">
    <brk id="174" max="11" man="1"/>
    <brk id="255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2"/>
  <sheetViews>
    <sheetView view="pageBreakPreview" zoomScale="70" zoomScaleNormal="100" zoomScaleSheetLayoutView="70" workbookViewId="0">
      <selection activeCell="I13" sqref="I13"/>
    </sheetView>
  </sheetViews>
  <sheetFormatPr defaultRowHeight="12.75" x14ac:dyDescent="0.2"/>
  <cols>
    <col min="1" max="1" width="14" style="507" customWidth="1"/>
    <col min="2" max="2" width="21.7109375" customWidth="1"/>
    <col min="3" max="3" width="15.85546875" customWidth="1"/>
    <col min="4" max="4" width="9.5703125" customWidth="1"/>
    <col min="5" max="5" width="17" customWidth="1"/>
    <col min="6" max="6" width="18.85546875" customWidth="1"/>
    <col min="7" max="7" width="12.140625" customWidth="1"/>
    <col min="8" max="8" width="12" customWidth="1"/>
    <col min="9" max="10" width="10.85546875" customWidth="1"/>
  </cols>
  <sheetData>
    <row r="1" spans="1:12" ht="82.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2" ht="15" x14ac:dyDescent="0.2">
      <c r="A2" s="512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2" ht="15" x14ac:dyDescent="0.2">
      <c r="A3" s="512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2" ht="15" x14ac:dyDescent="0.2">
      <c r="A4" s="512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2" ht="15" x14ac:dyDescent="0.2">
      <c r="A5" s="513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2" x14ac:dyDescent="0.2">
      <c r="A6" s="1870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2" ht="15" x14ac:dyDescent="0.2">
      <c r="A7" s="1871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2" ht="13.5" thickBot="1" x14ac:dyDescent="0.25">
      <c r="A8" s="509"/>
      <c r="B8" s="22"/>
      <c r="C8" s="22"/>
      <c r="D8" s="22"/>
      <c r="E8" s="22"/>
      <c r="F8" s="22"/>
      <c r="G8" s="22"/>
      <c r="H8" s="22"/>
      <c r="I8" s="22"/>
      <c r="J8" s="22"/>
    </row>
    <row r="9" spans="1:12" ht="13.5" thickBot="1" x14ac:dyDescent="0.25">
      <c r="A9" s="1865" t="s">
        <v>85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2" ht="13.5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12" ht="13.5" thickBot="1" x14ac:dyDescent="0.25">
      <c r="A11" s="1865" t="str">
        <f>ORÇ!D68</f>
        <v>Pavimentação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12" x14ac:dyDescent="0.2">
      <c r="A12" s="509"/>
      <c r="B12" s="22"/>
      <c r="C12" s="22"/>
      <c r="D12" s="22"/>
      <c r="E12" s="22"/>
      <c r="F12" s="22"/>
      <c r="G12" s="22"/>
      <c r="H12" s="22"/>
      <c r="I12" s="22"/>
      <c r="J12" s="22"/>
    </row>
    <row r="13" spans="1:12" x14ac:dyDescent="0.2">
      <c r="A13" s="447">
        <f>ORÇ!A68</f>
        <v>6</v>
      </c>
      <c r="B13" s="42" t="str">
        <f>ORÇ!D68</f>
        <v>Pavimentação</v>
      </c>
      <c r="C13" s="24"/>
      <c r="D13" s="24"/>
      <c r="E13" s="24"/>
      <c r="F13" s="24"/>
      <c r="G13" s="24"/>
      <c r="H13" s="24"/>
      <c r="I13" s="24"/>
      <c r="J13" s="24"/>
    </row>
    <row r="14" spans="1:12" ht="35.1" customHeight="1" x14ac:dyDescent="0.2">
      <c r="A14" s="1088" t="str">
        <f>ORÇ!A69</f>
        <v>6.1</v>
      </c>
      <c r="B14" s="1874" t="str">
        <f>ORÇ!D69</f>
        <v>CONTRAPISO EM ARGAMASSA TRAÇO 1:4 (CIMENTO E AREIA), PREPARO MECÂNICO COM BETONEIRA 400 L, APLICADO EM ÁREAS SECAS SOBRE LAJE, ADERIDO, ACABAMENTO NÃO REFORÇADO, ESPESSURA 2CM. AF_07/2021</v>
      </c>
      <c r="C14" s="1874"/>
      <c r="D14" s="1874"/>
      <c r="E14" s="1874"/>
      <c r="F14" s="1874"/>
      <c r="G14" s="1874"/>
      <c r="H14" s="1874"/>
      <c r="I14" s="1874"/>
      <c r="J14" s="1874"/>
      <c r="K14" s="1874"/>
    </row>
    <row r="15" spans="1:12" x14ac:dyDescent="0.2">
      <c r="A15" s="1087"/>
      <c r="B15" s="1087"/>
      <c r="C15" s="1087"/>
      <c r="D15" s="1087"/>
      <c r="E15" s="1087"/>
      <c r="F15" s="1087"/>
      <c r="G15" s="1087"/>
    </row>
    <row r="16" spans="1:12" x14ac:dyDescent="0.2">
      <c r="A16" s="1295"/>
      <c r="B16" s="1896" t="s">
        <v>1359</v>
      </c>
      <c r="C16" s="1897"/>
      <c r="D16" s="1898"/>
      <c r="E16" s="1302" t="s">
        <v>335</v>
      </c>
      <c r="F16" s="1295"/>
      <c r="G16" s="1896" t="s">
        <v>1359</v>
      </c>
      <c r="H16" s="1897"/>
      <c r="I16" s="1898"/>
      <c r="J16" s="1302" t="s">
        <v>335</v>
      </c>
      <c r="L16" s="38"/>
    </row>
    <row r="17" spans="1:12" x14ac:dyDescent="0.2">
      <c r="A17" s="1295"/>
      <c r="B17" s="1899" t="s">
        <v>1342</v>
      </c>
      <c r="C17" s="1900"/>
      <c r="D17" s="1901"/>
      <c r="E17" s="1297">
        <v>110</v>
      </c>
      <c r="F17" s="1295"/>
      <c r="G17" s="1899" t="s">
        <v>347</v>
      </c>
      <c r="H17" s="1900"/>
      <c r="I17" s="1901"/>
      <c r="J17" s="1206">
        <v>8.25</v>
      </c>
      <c r="L17" s="38"/>
    </row>
    <row r="18" spans="1:12" x14ac:dyDescent="0.2">
      <c r="A18" s="1295"/>
      <c r="B18" s="1899" t="s">
        <v>1348</v>
      </c>
      <c r="C18" s="1900"/>
      <c r="D18" s="1901"/>
      <c r="E18" s="1206">
        <v>12.78</v>
      </c>
      <c r="F18" s="1295"/>
      <c r="G18" s="1899" t="s">
        <v>1361</v>
      </c>
      <c r="H18" s="1900"/>
      <c r="I18" s="1901"/>
      <c r="J18" s="1206">
        <v>46.33</v>
      </c>
      <c r="L18" s="38"/>
    </row>
    <row r="19" spans="1:12" x14ac:dyDescent="0.2">
      <c r="A19" s="1295"/>
      <c r="B19" s="1899" t="s">
        <v>502</v>
      </c>
      <c r="C19" s="1900"/>
      <c r="D19" s="1901"/>
      <c r="E19" s="1206">
        <v>38.5</v>
      </c>
      <c r="F19" s="1295"/>
      <c r="G19" s="1899" t="s">
        <v>1360</v>
      </c>
      <c r="H19" s="1900"/>
      <c r="I19" s="1901"/>
      <c r="J19" s="1206">
        <v>23.65</v>
      </c>
      <c r="L19" s="38"/>
    </row>
    <row r="20" spans="1:12" x14ac:dyDescent="0.2">
      <c r="A20" s="1295"/>
      <c r="B20" s="1899" t="s">
        <v>302</v>
      </c>
      <c r="C20" s="1900"/>
      <c r="D20" s="1901"/>
      <c r="E20" s="1206">
        <v>12.75</v>
      </c>
      <c r="F20" s="1295"/>
      <c r="G20" s="1899" t="s">
        <v>961</v>
      </c>
      <c r="H20" s="1900"/>
      <c r="I20" s="1901"/>
      <c r="J20" s="1206">
        <v>4</v>
      </c>
      <c r="L20" s="38"/>
    </row>
    <row r="21" spans="1:12" x14ac:dyDescent="0.2">
      <c r="A21" s="1295"/>
      <c r="B21" s="1899" t="s">
        <v>1349</v>
      </c>
      <c r="C21" s="1900"/>
      <c r="D21" s="1901"/>
      <c r="E21" s="1206">
        <f>7.05+9.2+48.08</f>
        <v>64.33</v>
      </c>
      <c r="F21" s="1295"/>
      <c r="G21" s="1899" t="s">
        <v>324</v>
      </c>
      <c r="H21" s="1900"/>
      <c r="I21" s="1901"/>
      <c r="J21" s="1206">
        <v>23.72</v>
      </c>
      <c r="L21" s="38"/>
    </row>
    <row r="22" spans="1:12" x14ac:dyDescent="0.2">
      <c r="A22" s="1295"/>
      <c r="B22" s="1899" t="s">
        <v>582</v>
      </c>
      <c r="C22" s="1900"/>
      <c r="D22" s="1901"/>
      <c r="E22" s="1206">
        <v>30.9</v>
      </c>
      <c r="F22" s="1295"/>
      <c r="G22" s="1899" t="s">
        <v>320</v>
      </c>
      <c r="H22" s="1900"/>
      <c r="I22" s="1901"/>
      <c r="J22" s="1206">
        <v>18.97</v>
      </c>
      <c r="L22" s="38"/>
    </row>
    <row r="23" spans="1:12" x14ac:dyDescent="0.2">
      <c r="A23" s="1295"/>
      <c r="B23" s="1899" t="s">
        <v>1344</v>
      </c>
      <c r="C23" s="1900"/>
      <c r="D23" s="1901"/>
      <c r="E23" s="1206">
        <v>13.98</v>
      </c>
      <c r="F23" s="1295"/>
      <c r="G23" s="1899" t="s">
        <v>1362</v>
      </c>
      <c r="H23" s="1900"/>
      <c r="I23" s="1901"/>
      <c r="J23" s="1206">
        <v>21.3</v>
      </c>
      <c r="L23" s="38"/>
    </row>
    <row r="24" spans="1:12" x14ac:dyDescent="0.2">
      <c r="A24" s="1295"/>
      <c r="B24" s="1899" t="s">
        <v>1343</v>
      </c>
      <c r="C24" s="1900"/>
      <c r="D24" s="1901"/>
      <c r="E24" s="1206">
        <v>13.45</v>
      </c>
      <c r="F24" s="1295"/>
      <c r="G24" s="1899" t="s">
        <v>301</v>
      </c>
      <c r="H24" s="1900"/>
      <c r="I24" s="1901"/>
      <c r="J24" s="1206">
        <v>51.44</v>
      </c>
      <c r="L24" s="38"/>
    </row>
    <row r="25" spans="1:12" x14ac:dyDescent="0.2">
      <c r="A25" s="1295"/>
      <c r="B25" s="1899" t="s">
        <v>1345</v>
      </c>
      <c r="C25" s="1900"/>
      <c r="D25" s="1901"/>
      <c r="E25" s="1206">
        <v>33.369999999999997</v>
      </c>
      <c r="F25" s="1295"/>
      <c r="G25" s="1899" t="s">
        <v>296</v>
      </c>
      <c r="H25" s="1900"/>
      <c r="I25" s="1901"/>
      <c r="J25" s="1206">
        <v>26.25</v>
      </c>
      <c r="L25" s="38"/>
    </row>
    <row r="26" spans="1:12" x14ac:dyDescent="0.2">
      <c r="A26" s="1295"/>
      <c r="B26" s="1899" t="s">
        <v>1346</v>
      </c>
      <c r="C26" s="1900"/>
      <c r="D26" s="1901"/>
      <c r="E26" s="1206">
        <v>10.5</v>
      </c>
      <c r="F26" s="1295"/>
      <c r="G26" s="1899" t="s">
        <v>293</v>
      </c>
      <c r="H26" s="1900"/>
      <c r="I26" s="1901"/>
      <c r="J26" s="1206">
        <v>11.73</v>
      </c>
      <c r="L26" s="38"/>
    </row>
    <row r="27" spans="1:12" x14ac:dyDescent="0.2">
      <c r="A27" s="1295"/>
      <c r="B27" s="1899" t="s">
        <v>1347</v>
      </c>
      <c r="C27" s="1900"/>
      <c r="D27" s="1901"/>
      <c r="E27" s="1206">
        <v>17.23</v>
      </c>
      <c r="F27" s="1295"/>
      <c r="G27" s="1899" t="s">
        <v>292</v>
      </c>
      <c r="H27" s="1900"/>
      <c r="I27" s="1901"/>
      <c r="J27" s="1206">
        <v>4.4000000000000004</v>
      </c>
      <c r="L27" s="38"/>
    </row>
    <row r="28" spans="1:12" x14ac:dyDescent="0.2">
      <c r="A28" s="1295"/>
      <c r="B28" s="1899" t="s">
        <v>509</v>
      </c>
      <c r="C28" s="1900"/>
      <c r="D28" s="1901"/>
      <c r="E28" s="1206">
        <v>25.7</v>
      </c>
      <c r="F28" s="1295"/>
      <c r="G28" s="1899" t="s">
        <v>1185</v>
      </c>
      <c r="H28" s="1900"/>
      <c r="I28" s="1901"/>
      <c r="J28" s="1206">
        <v>4.55</v>
      </c>
      <c r="L28" s="38"/>
    </row>
    <row r="29" spans="1:12" x14ac:dyDescent="0.2">
      <c r="A29" s="1295"/>
      <c r="B29" s="1899" t="s">
        <v>508</v>
      </c>
      <c r="C29" s="1900"/>
      <c r="D29" s="1901"/>
      <c r="E29" s="1206">
        <v>33</v>
      </c>
      <c r="F29" s="1295"/>
      <c r="G29" s="1899" t="s">
        <v>347</v>
      </c>
      <c r="H29" s="1900"/>
      <c r="I29" s="1901"/>
      <c r="J29" s="1206">
        <v>5.6</v>
      </c>
      <c r="L29" s="38"/>
    </row>
    <row r="30" spans="1:12" x14ac:dyDescent="0.2">
      <c r="A30" s="1295"/>
      <c r="B30" s="1899" t="s">
        <v>321</v>
      </c>
      <c r="C30" s="1900"/>
      <c r="D30" s="1901"/>
      <c r="E30" s="1206">
        <v>33.65</v>
      </c>
      <c r="F30" s="1295"/>
      <c r="G30" s="1899" t="s">
        <v>1184</v>
      </c>
      <c r="H30" s="1900"/>
      <c r="I30" s="1901"/>
      <c r="J30" s="1206">
        <v>6.37</v>
      </c>
      <c r="L30" s="38"/>
    </row>
    <row r="31" spans="1:12" x14ac:dyDescent="0.2">
      <c r="A31" s="1295"/>
      <c r="B31" s="1899" t="s">
        <v>491</v>
      </c>
      <c r="C31" s="1900"/>
      <c r="D31" s="1901"/>
      <c r="E31" s="1206">
        <v>21.64</v>
      </c>
      <c r="F31" s="1295"/>
      <c r="G31" s="1899" t="s">
        <v>297</v>
      </c>
      <c r="H31" s="1900"/>
      <c r="I31" s="1901"/>
      <c r="J31" s="1206">
        <v>55.93</v>
      </c>
      <c r="L31" s="38"/>
    </row>
    <row r="32" spans="1:12" x14ac:dyDescent="0.2">
      <c r="A32" s="1295"/>
      <c r="B32" s="1899" t="s">
        <v>1350</v>
      </c>
      <c r="C32" s="1900"/>
      <c r="D32" s="1901"/>
      <c r="E32" s="1206">
        <v>23.69</v>
      </c>
      <c r="F32" s="1295"/>
      <c r="G32" s="1899" t="s">
        <v>344</v>
      </c>
      <c r="H32" s="1900"/>
      <c r="I32" s="1901"/>
      <c r="J32" s="1206">
        <v>36.200000000000003</v>
      </c>
      <c r="L32" s="38"/>
    </row>
    <row r="33" spans="1:12" x14ac:dyDescent="0.2">
      <c r="A33" s="1295"/>
      <c r="B33" s="1899" t="s">
        <v>1351</v>
      </c>
      <c r="C33" s="1900"/>
      <c r="D33" s="1901"/>
      <c r="E33" s="1206">
        <v>18.03</v>
      </c>
      <c r="F33" s="1295"/>
      <c r="G33" s="1899" t="s">
        <v>1363</v>
      </c>
      <c r="H33" s="1900"/>
      <c r="I33" s="1901"/>
      <c r="J33" s="1206">
        <v>38.770000000000003</v>
      </c>
      <c r="L33" s="38"/>
    </row>
    <row r="34" spans="1:12" x14ac:dyDescent="0.2">
      <c r="A34" s="1295"/>
      <c r="B34" s="1899" t="s">
        <v>1352</v>
      </c>
      <c r="C34" s="1900"/>
      <c r="D34" s="1901"/>
      <c r="E34" s="1206">
        <v>10.97</v>
      </c>
      <c r="F34" s="1295"/>
      <c r="G34" s="1899" t="s">
        <v>294</v>
      </c>
      <c r="H34" s="1900"/>
      <c r="I34" s="1901"/>
      <c r="J34" s="1206">
        <v>14.43</v>
      </c>
      <c r="L34" s="38"/>
    </row>
    <row r="35" spans="1:12" x14ac:dyDescent="0.2">
      <c r="A35" s="1295"/>
      <c r="B35" s="1899" t="s">
        <v>1353</v>
      </c>
      <c r="C35" s="1900"/>
      <c r="D35" s="1901"/>
      <c r="E35" s="1206">
        <f>11.69+30.9</f>
        <v>42.589999999999996</v>
      </c>
      <c r="F35" s="1295"/>
      <c r="G35" s="1899" t="s">
        <v>295</v>
      </c>
      <c r="H35" s="1900"/>
      <c r="I35" s="1901"/>
      <c r="J35" s="1206">
        <v>15.45</v>
      </c>
      <c r="L35" s="38"/>
    </row>
    <row r="36" spans="1:12" x14ac:dyDescent="0.2">
      <c r="A36" s="1295"/>
      <c r="B36" s="1899" t="s">
        <v>298</v>
      </c>
      <c r="C36" s="1900"/>
      <c r="D36" s="1901"/>
      <c r="E36" s="1206">
        <v>56.46</v>
      </c>
      <c r="F36" s="1295"/>
      <c r="G36" s="1899" t="s">
        <v>1364</v>
      </c>
      <c r="H36" s="1900"/>
      <c r="I36" s="1901"/>
      <c r="J36" s="1206">
        <v>33.64</v>
      </c>
      <c r="L36" s="38"/>
    </row>
    <row r="37" spans="1:12" x14ac:dyDescent="0.2">
      <c r="A37" s="1295"/>
      <c r="B37" s="1899" t="s">
        <v>1354</v>
      </c>
      <c r="C37" s="1900"/>
      <c r="D37" s="1901"/>
      <c r="E37" s="1206">
        <v>9</v>
      </c>
      <c r="F37" s="1295"/>
      <c r="G37" s="1899" t="s">
        <v>1365</v>
      </c>
      <c r="H37" s="1900"/>
      <c r="I37" s="1901"/>
      <c r="J37" s="1206">
        <v>19.09</v>
      </c>
      <c r="L37" s="38"/>
    </row>
    <row r="38" spans="1:12" x14ac:dyDescent="0.2">
      <c r="A38" s="1295"/>
      <c r="B38" s="1899" t="s">
        <v>1355</v>
      </c>
      <c r="C38" s="1900"/>
      <c r="D38" s="1901"/>
      <c r="E38" s="1206">
        <v>9</v>
      </c>
      <c r="F38" s="1295"/>
      <c r="G38" s="1899" t="s">
        <v>322</v>
      </c>
      <c r="H38" s="1900"/>
      <c r="I38" s="1901"/>
      <c r="J38" s="1206">
        <v>20.78</v>
      </c>
      <c r="L38" s="38"/>
    </row>
    <row r="39" spans="1:12" x14ac:dyDescent="0.2">
      <c r="A39" s="1295"/>
      <c r="B39" s="1899" t="s">
        <v>299</v>
      </c>
      <c r="C39" s="1900"/>
      <c r="D39" s="1901"/>
      <c r="E39" s="1206">
        <v>16.7</v>
      </c>
      <c r="F39" s="1295"/>
      <c r="G39" s="1899" t="s">
        <v>1366</v>
      </c>
      <c r="H39" s="1900"/>
      <c r="I39" s="1901"/>
      <c r="J39" s="1206">
        <v>20.149999999999999</v>
      </c>
      <c r="L39" s="38"/>
    </row>
    <row r="40" spans="1:12" x14ac:dyDescent="0.2">
      <c r="A40" s="1295"/>
      <c r="B40" s="1899" t="s">
        <v>1356</v>
      </c>
      <c r="C40" s="1900"/>
      <c r="D40" s="1901"/>
      <c r="E40" s="1206">
        <v>20.55</v>
      </c>
      <c r="F40" s="1295"/>
      <c r="G40" s="1899" t="s">
        <v>323</v>
      </c>
      <c r="H40" s="1900"/>
      <c r="I40" s="1901"/>
      <c r="J40" s="1206">
        <v>20.149999999999999</v>
      </c>
      <c r="L40" s="38"/>
    </row>
    <row r="41" spans="1:12" x14ac:dyDescent="0.2">
      <c r="A41" s="1295"/>
      <c r="B41" s="1899" t="s">
        <v>1357</v>
      </c>
      <c r="C41" s="1900"/>
      <c r="D41" s="1901"/>
      <c r="E41" s="1206">
        <v>9.25</v>
      </c>
      <c r="F41" s="1295"/>
      <c r="G41" s="1899" t="s">
        <v>490</v>
      </c>
      <c r="H41" s="1900"/>
      <c r="I41" s="1901"/>
      <c r="J41" s="1206">
        <v>20.71</v>
      </c>
      <c r="L41" s="38"/>
    </row>
    <row r="42" spans="1:12" x14ac:dyDescent="0.2">
      <c r="A42" s="1295"/>
      <c r="B42" s="1899" t="s">
        <v>300</v>
      </c>
      <c r="C42" s="1900"/>
      <c r="D42" s="1901"/>
      <c r="E42" s="1206">
        <v>32.549999999999997</v>
      </c>
      <c r="F42" s="1295"/>
      <c r="G42" s="1899" t="s">
        <v>1367</v>
      </c>
      <c r="H42" s="1900"/>
      <c r="I42" s="1901"/>
      <c r="J42" s="1206">
        <v>110</v>
      </c>
      <c r="L42" s="38"/>
    </row>
    <row r="43" spans="1:12" x14ac:dyDescent="0.2">
      <c r="A43" s="1295"/>
      <c r="B43" s="1899" t="s">
        <v>346</v>
      </c>
      <c r="C43" s="1900"/>
      <c r="D43" s="1901"/>
      <c r="E43" s="1206">
        <v>21.48</v>
      </c>
      <c r="F43" s="1295"/>
      <c r="G43" s="1899"/>
      <c r="H43" s="1900"/>
      <c r="I43" s="1901"/>
      <c r="J43" s="1206"/>
      <c r="L43" s="38"/>
    </row>
    <row r="44" spans="1:12" x14ac:dyDescent="0.2">
      <c r="A44" s="1295"/>
      <c r="B44" s="1899" t="s">
        <v>446</v>
      </c>
      <c r="C44" s="1900"/>
      <c r="D44" s="1901"/>
      <c r="E44" s="1206">
        <v>27.48</v>
      </c>
      <c r="F44" s="1295"/>
      <c r="G44" s="1899"/>
      <c r="H44" s="1900"/>
      <c r="I44" s="1901"/>
      <c r="J44" s="1206"/>
      <c r="L44" s="38"/>
    </row>
    <row r="45" spans="1:12" x14ac:dyDescent="0.2">
      <c r="A45" s="1295"/>
      <c r="B45" s="1899" t="s">
        <v>960</v>
      </c>
      <c r="C45" s="1900"/>
      <c r="D45" s="1901"/>
      <c r="E45" s="1206">
        <v>4</v>
      </c>
      <c r="F45" s="1295"/>
      <c r="G45" s="1899"/>
      <c r="H45" s="1900"/>
      <c r="I45" s="1901"/>
      <c r="J45" s="1206"/>
      <c r="L45" s="38"/>
    </row>
    <row r="46" spans="1:12" x14ac:dyDescent="0.2">
      <c r="A46" s="1295"/>
      <c r="B46" s="1899" t="s">
        <v>1358</v>
      </c>
      <c r="C46" s="1900"/>
      <c r="D46" s="1901"/>
      <c r="E46" s="1206">
        <v>27.49</v>
      </c>
      <c r="F46" s="1295"/>
      <c r="G46" s="1899"/>
      <c r="H46" s="1900"/>
      <c r="I46" s="1901"/>
      <c r="J46" s="1206"/>
      <c r="L46" s="38"/>
    </row>
    <row r="47" spans="1:12" x14ac:dyDescent="0.2">
      <c r="A47" s="1295"/>
      <c r="B47" s="1893" t="s">
        <v>60</v>
      </c>
      <c r="C47" s="1894"/>
      <c r="D47" s="1895"/>
      <c r="E47" s="1332">
        <f>SUM(E17:E46)</f>
        <v>801.0200000000001</v>
      </c>
      <c r="F47" s="1295"/>
      <c r="G47" s="1893" t="s">
        <v>60</v>
      </c>
      <c r="H47" s="1894"/>
      <c r="I47" s="1895"/>
      <c r="J47" s="1332">
        <f>SUM(J17:J46)</f>
        <v>661.8599999999999</v>
      </c>
      <c r="L47" s="1171"/>
    </row>
    <row r="48" spans="1:12" ht="13.5" thickBot="1" x14ac:dyDescent="0.25">
      <c r="A48" s="1295"/>
      <c r="B48" s="1298"/>
      <c r="C48" s="1298"/>
      <c r="D48" s="1298"/>
      <c r="E48" s="503"/>
      <c r="F48" s="1295"/>
      <c r="G48" s="38"/>
      <c r="H48" s="1298"/>
      <c r="I48" s="1298"/>
      <c r="J48" s="1298"/>
      <c r="K48" s="503"/>
      <c r="L48" s="38"/>
    </row>
    <row r="49" spans="1:11" ht="15" x14ac:dyDescent="0.25">
      <c r="A49" s="1295"/>
      <c r="B49" s="516"/>
      <c r="C49" s="517"/>
      <c r="D49" s="518" t="s">
        <v>263</v>
      </c>
    </row>
    <row r="50" spans="1:11" ht="15.75" thickBot="1" x14ac:dyDescent="0.3">
      <c r="A50" s="1295"/>
      <c r="B50" s="519" t="s">
        <v>336</v>
      </c>
      <c r="C50" s="520" t="s">
        <v>72</v>
      </c>
      <c r="D50" s="521">
        <f>E47+J47</f>
        <v>1462.88</v>
      </c>
    </row>
    <row r="51" spans="1:11" x14ac:dyDescent="0.2">
      <c r="A51" s="1295"/>
    </row>
    <row r="52" spans="1:11" x14ac:dyDescent="0.2">
      <c r="A52" s="1295"/>
      <c r="B52" s="1295"/>
      <c r="C52" s="1295"/>
      <c r="D52" s="1295"/>
      <c r="E52" s="1295"/>
      <c r="F52" s="1295"/>
      <c r="G52" s="1295"/>
    </row>
    <row r="53" spans="1:11" x14ac:dyDescent="0.2">
      <c r="A53" s="1295"/>
      <c r="B53" s="1295"/>
      <c r="C53" s="1295"/>
      <c r="D53" s="1295"/>
      <c r="E53" s="1295"/>
      <c r="F53" s="1295"/>
      <c r="G53" s="1295"/>
    </row>
    <row r="54" spans="1:11" s="38" customFormat="1" x14ac:dyDescent="0.2">
      <c r="A54" s="567" t="str">
        <f>ORÇ!A70</f>
        <v>6.2</v>
      </c>
      <c r="B54" s="1874" t="str">
        <f>ORÇ!D70</f>
        <v>Porcelanato (natural) - Padrão Médio</v>
      </c>
      <c r="C54" s="1874"/>
      <c r="D54" s="1874"/>
      <c r="E54" s="1874"/>
      <c r="F54" s="1874"/>
      <c r="G54" s="1874"/>
      <c r="H54" s="1874"/>
      <c r="I54" s="1874"/>
      <c r="J54" s="1874"/>
      <c r="K54" s="1874"/>
    </row>
    <row r="55" spans="1:11" s="38" customFormat="1" x14ac:dyDescent="0.2">
      <c r="A55" s="1303"/>
      <c r="B55" s="1293"/>
      <c r="C55" s="1293"/>
      <c r="D55" s="1293"/>
      <c r="E55" s="1293"/>
      <c r="F55" s="1293"/>
      <c r="G55" s="1293"/>
      <c r="H55" s="1293"/>
      <c r="I55" s="1293"/>
      <c r="J55" s="1293"/>
      <c r="K55" s="1293"/>
    </row>
    <row r="56" spans="1:11" s="38" customFormat="1" x14ac:dyDescent="0.2">
      <c r="A56" s="1303"/>
      <c r="B56" s="1896" t="s">
        <v>1359</v>
      </c>
      <c r="C56" s="1897"/>
      <c r="D56" s="1898"/>
      <c r="E56" s="1302" t="s">
        <v>335</v>
      </c>
      <c r="F56" s="1295"/>
      <c r="G56" s="1896" t="s">
        <v>1359</v>
      </c>
      <c r="H56" s="1897"/>
      <c r="I56" s="1898"/>
      <c r="J56" s="1302" t="s">
        <v>335</v>
      </c>
      <c r="K56" s="1293"/>
    </row>
    <row r="57" spans="1:11" s="38" customFormat="1" x14ac:dyDescent="0.2">
      <c r="A57" s="1303"/>
      <c r="B57" s="1899" t="s">
        <v>1342</v>
      </c>
      <c r="C57" s="1900"/>
      <c r="D57" s="1901"/>
      <c r="E57" s="1297">
        <v>110</v>
      </c>
      <c r="F57" s="1295"/>
      <c r="G57" s="1899" t="s">
        <v>347</v>
      </c>
      <c r="H57" s="1900"/>
      <c r="I57" s="1901"/>
      <c r="J57" s="1206">
        <v>8.25</v>
      </c>
      <c r="K57" s="1293"/>
    </row>
    <row r="58" spans="1:11" s="38" customFormat="1" x14ac:dyDescent="0.2">
      <c r="A58" s="1303"/>
      <c r="B58" s="1899" t="s">
        <v>1348</v>
      </c>
      <c r="C58" s="1900"/>
      <c r="D58" s="1901"/>
      <c r="E58" s="1206">
        <v>12.78</v>
      </c>
      <c r="F58" s="1295"/>
      <c r="G58" s="1899" t="s">
        <v>1361</v>
      </c>
      <c r="H58" s="1900"/>
      <c r="I58" s="1901"/>
      <c r="J58" s="1206">
        <v>46.33</v>
      </c>
      <c r="K58" s="1293"/>
    </row>
    <row r="59" spans="1:11" s="38" customFormat="1" x14ac:dyDescent="0.2">
      <c r="A59" s="1303"/>
      <c r="B59" s="1899" t="s">
        <v>502</v>
      </c>
      <c r="C59" s="1900"/>
      <c r="D59" s="1901"/>
      <c r="E59" s="1206">
        <v>38.5</v>
      </c>
      <c r="F59" s="1295"/>
      <c r="G59" s="1899" t="s">
        <v>324</v>
      </c>
      <c r="H59" s="1900"/>
      <c r="I59" s="1901"/>
      <c r="J59" s="1206">
        <v>23.72</v>
      </c>
      <c r="K59" s="1293"/>
    </row>
    <row r="60" spans="1:11" s="38" customFormat="1" x14ac:dyDescent="0.2">
      <c r="A60" s="1303"/>
      <c r="B60" s="1899" t="s">
        <v>302</v>
      </c>
      <c r="C60" s="1900"/>
      <c r="D60" s="1901"/>
      <c r="E60" s="1206">
        <v>12.75</v>
      </c>
      <c r="F60" s="1295"/>
      <c r="G60" s="1899" t="s">
        <v>320</v>
      </c>
      <c r="H60" s="1900"/>
      <c r="I60" s="1901"/>
      <c r="J60" s="1206">
        <v>18.97</v>
      </c>
      <c r="K60" s="1293"/>
    </row>
    <row r="61" spans="1:11" s="38" customFormat="1" x14ac:dyDescent="0.2">
      <c r="A61" s="1303"/>
      <c r="B61" s="1899" t="s">
        <v>1349</v>
      </c>
      <c r="C61" s="1900"/>
      <c r="D61" s="1901"/>
      <c r="E61" s="1206">
        <f>7.05+9.2+48.08</f>
        <v>64.33</v>
      </c>
      <c r="F61" s="1295"/>
      <c r="G61" s="1899" t="s">
        <v>1362</v>
      </c>
      <c r="H61" s="1900"/>
      <c r="I61" s="1901"/>
      <c r="J61" s="1206">
        <v>21.3</v>
      </c>
      <c r="K61" s="1293"/>
    </row>
    <row r="62" spans="1:11" s="38" customFormat="1" x14ac:dyDescent="0.2">
      <c r="A62" s="1303"/>
      <c r="B62" s="1899" t="s">
        <v>582</v>
      </c>
      <c r="C62" s="1900"/>
      <c r="D62" s="1901"/>
      <c r="E62" s="1206">
        <v>30.9</v>
      </c>
      <c r="F62" s="1295"/>
      <c r="G62" s="1899" t="s">
        <v>301</v>
      </c>
      <c r="H62" s="1900"/>
      <c r="I62" s="1901"/>
      <c r="J62" s="1206">
        <v>51.44</v>
      </c>
      <c r="K62" s="1293"/>
    </row>
    <row r="63" spans="1:11" s="38" customFormat="1" x14ac:dyDescent="0.2">
      <c r="A63" s="1303"/>
      <c r="B63" s="1899" t="s">
        <v>1344</v>
      </c>
      <c r="C63" s="1900"/>
      <c r="D63" s="1901"/>
      <c r="E63" s="1206">
        <v>13.98</v>
      </c>
      <c r="F63" s="1295"/>
      <c r="G63" s="1899" t="s">
        <v>296</v>
      </c>
      <c r="H63" s="1900"/>
      <c r="I63" s="1901"/>
      <c r="J63" s="1206">
        <v>26.25</v>
      </c>
      <c r="K63" s="1293"/>
    </row>
    <row r="64" spans="1:11" s="38" customFormat="1" ht="12.95" customHeight="1" x14ac:dyDescent="0.2">
      <c r="A64" s="1303"/>
      <c r="B64" s="1899" t="s">
        <v>1343</v>
      </c>
      <c r="C64" s="1900"/>
      <c r="D64" s="1901"/>
      <c r="E64" s="1206">
        <v>13.45</v>
      </c>
      <c r="F64" s="1295"/>
      <c r="G64" s="1899" t="s">
        <v>347</v>
      </c>
      <c r="H64" s="1900"/>
      <c r="I64" s="1901"/>
      <c r="J64" s="1206">
        <v>5.6</v>
      </c>
      <c r="K64" s="1293"/>
    </row>
    <row r="65" spans="1:11" s="38" customFormat="1" ht="12.95" customHeight="1" x14ac:dyDescent="0.2">
      <c r="A65" s="1303"/>
      <c r="B65" s="1899" t="s">
        <v>1345</v>
      </c>
      <c r="C65" s="1900"/>
      <c r="D65" s="1901"/>
      <c r="E65" s="1206">
        <v>33.369999999999997</v>
      </c>
      <c r="F65" s="1295"/>
      <c r="G65" s="1899" t="s">
        <v>297</v>
      </c>
      <c r="H65" s="1900"/>
      <c r="I65" s="1901"/>
      <c r="J65" s="1206">
        <v>55.93</v>
      </c>
      <c r="K65" s="1293"/>
    </row>
    <row r="66" spans="1:11" s="38" customFormat="1" ht="12.95" customHeight="1" x14ac:dyDescent="0.2">
      <c r="A66" s="1303"/>
      <c r="B66" s="1899" t="s">
        <v>1346</v>
      </c>
      <c r="C66" s="1900"/>
      <c r="D66" s="1901"/>
      <c r="E66" s="1206">
        <v>10.5</v>
      </c>
      <c r="F66" s="1295"/>
      <c r="G66" s="1899" t="s">
        <v>344</v>
      </c>
      <c r="H66" s="1900"/>
      <c r="I66" s="1901"/>
      <c r="J66" s="1206">
        <v>36.200000000000003</v>
      </c>
      <c r="K66" s="1293"/>
    </row>
    <row r="67" spans="1:11" s="38" customFormat="1" x14ac:dyDescent="0.2">
      <c r="A67" s="1303"/>
      <c r="B67" s="1899" t="s">
        <v>1347</v>
      </c>
      <c r="C67" s="1900"/>
      <c r="D67" s="1901"/>
      <c r="E67" s="1206">
        <v>17.23</v>
      </c>
      <c r="F67" s="1295"/>
      <c r="G67" s="1899" t="s">
        <v>1363</v>
      </c>
      <c r="H67" s="1900"/>
      <c r="I67" s="1901"/>
      <c r="J67" s="1206">
        <v>38.770000000000003</v>
      </c>
      <c r="K67" s="1293"/>
    </row>
    <row r="68" spans="1:11" s="38" customFormat="1" ht="12.95" customHeight="1" x14ac:dyDescent="0.2">
      <c r="A68" s="1303"/>
      <c r="B68" s="1899" t="s">
        <v>509</v>
      </c>
      <c r="C68" s="1900"/>
      <c r="D68" s="1901"/>
      <c r="E68" s="1206">
        <v>25.7</v>
      </c>
      <c r="F68" s="1295"/>
      <c r="G68" s="1899" t="s">
        <v>294</v>
      </c>
      <c r="H68" s="1900"/>
      <c r="I68" s="1901"/>
      <c r="J68" s="1206">
        <v>14.43</v>
      </c>
      <c r="K68" s="1293"/>
    </row>
    <row r="69" spans="1:11" s="38" customFormat="1" x14ac:dyDescent="0.2">
      <c r="A69" s="1303"/>
      <c r="B69" s="1899" t="s">
        <v>508</v>
      </c>
      <c r="C69" s="1900"/>
      <c r="D69" s="1901"/>
      <c r="E69" s="1206">
        <v>33</v>
      </c>
      <c r="F69" s="1295"/>
      <c r="G69" s="1899" t="s">
        <v>295</v>
      </c>
      <c r="H69" s="1900"/>
      <c r="I69" s="1901"/>
      <c r="J69" s="1206">
        <v>15.45</v>
      </c>
      <c r="K69" s="1293"/>
    </row>
    <row r="70" spans="1:11" s="38" customFormat="1" x14ac:dyDescent="0.2">
      <c r="A70" s="1303"/>
      <c r="B70" s="1899" t="s">
        <v>321</v>
      </c>
      <c r="C70" s="1900"/>
      <c r="D70" s="1901"/>
      <c r="E70" s="1206">
        <v>33.65</v>
      </c>
      <c r="F70" s="1295"/>
      <c r="G70" s="1899" t="s">
        <v>1364</v>
      </c>
      <c r="H70" s="1900"/>
      <c r="I70" s="1901"/>
      <c r="J70" s="1206">
        <v>33.64</v>
      </c>
      <c r="K70" s="1293"/>
    </row>
    <row r="71" spans="1:11" s="38" customFormat="1" ht="12.95" customHeight="1" x14ac:dyDescent="0.2">
      <c r="A71" s="1303"/>
      <c r="B71" s="1899" t="s">
        <v>491</v>
      </c>
      <c r="C71" s="1900"/>
      <c r="D71" s="1901"/>
      <c r="E71" s="1206">
        <v>21.64</v>
      </c>
      <c r="F71" s="1295"/>
      <c r="G71" s="1899" t="s">
        <v>1365</v>
      </c>
      <c r="H71" s="1900"/>
      <c r="I71" s="1901"/>
      <c r="J71" s="1206">
        <v>19.09</v>
      </c>
      <c r="K71" s="1293"/>
    </row>
    <row r="72" spans="1:11" s="38" customFormat="1" ht="12.95" customHeight="1" x14ac:dyDescent="0.2">
      <c r="A72" s="1303"/>
      <c r="B72" s="1899" t="s">
        <v>1350</v>
      </c>
      <c r="C72" s="1900"/>
      <c r="D72" s="1901"/>
      <c r="E72" s="1206">
        <v>23.69</v>
      </c>
      <c r="F72" s="1295"/>
      <c r="G72" s="1899" t="s">
        <v>322</v>
      </c>
      <c r="H72" s="1900"/>
      <c r="I72" s="1901"/>
      <c r="J72" s="1206">
        <v>20.78</v>
      </c>
      <c r="K72" s="1293"/>
    </row>
    <row r="73" spans="1:11" s="38" customFormat="1" ht="12.95" customHeight="1" x14ac:dyDescent="0.2">
      <c r="A73" s="1303"/>
      <c r="B73" s="1899" t="s">
        <v>1351</v>
      </c>
      <c r="C73" s="1900"/>
      <c r="D73" s="1901"/>
      <c r="E73" s="1206">
        <v>18.03</v>
      </c>
      <c r="F73" s="1295"/>
      <c r="G73" s="1899" t="s">
        <v>1366</v>
      </c>
      <c r="H73" s="1900"/>
      <c r="I73" s="1901"/>
      <c r="J73" s="1206">
        <v>20.149999999999999</v>
      </c>
      <c r="K73" s="1293"/>
    </row>
    <row r="74" spans="1:11" s="38" customFormat="1" ht="12.95" customHeight="1" x14ac:dyDescent="0.2">
      <c r="A74" s="1303"/>
      <c r="B74" s="1899" t="s">
        <v>1352</v>
      </c>
      <c r="C74" s="1900"/>
      <c r="D74" s="1901"/>
      <c r="E74" s="1206">
        <v>10.97</v>
      </c>
      <c r="F74" s="1295"/>
      <c r="G74" s="1899" t="s">
        <v>323</v>
      </c>
      <c r="H74" s="1900"/>
      <c r="I74" s="1901"/>
      <c r="J74" s="1206">
        <v>20.149999999999999</v>
      </c>
      <c r="K74" s="1293"/>
    </row>
    <row r="75" spans="1:11" s="38" customFormat="1" x14ac:dyDescent="0.2">
      <c r="A75" s="1303"/>
      <c r="B75" s="1899" t="s">
        <v>1353</v>
      </c>
      <c r="C75" s="1900"/>
      <c r="D75" s="1901"/>
      <c r="E75" s="1206">
        <f>11.69+30.9</f>
        <v>42.589999999999996</v>
      </c>
      <c r="F75" s="1295"/>
      <c r="G75" s="1899" t="s">
        <v>490</v>
      </c>
      <c r="H75" s="1900"/>
      <c r="I75" s="1901"/>
      <c r="J75" s="1206">
        <v>20.71</v>
      </c>
      <c r="K75" s="1293"/>
    </row>
    <row r="76" spans="1:11" s="38" customFormat="1" x14ac:dyDescent="0.2">
      <c r="A76" s="1303"/>
      <c r="B76" s="1899" t="s">
        <v>298</v>
      </c>
      <c r="C76" s="1900"/>
      <c r="D76" s="1901"/>
      <c r="E76" s="1206">
        <v>56.46</v>
      </c>
      <c r="F76" s="1295"/>
      <c r="G76" s="1899" t="s">
        <v>1367</v>
      </c>
      <c r="H76" s="1900"/>
      <c r="I76" s="1901"/>
      <c r="J76" s="1206">
        <v>110</v>
      </c>
      <c r="K76" s="1293"/>
    </row>
    <row r="77" spans="1:11" s="38" customFormat="1" ht="12.95" customHeight="1" x14ac:dyDescent="0.2">
      <c r="A77" s="1303"/>
      <c r="B77" s="1899" t="s">
        <v>1356</v>
      </c>
      <c r="C77" s="1900"/>
      <c r="D77" s="1901"/>
      <c r="E77" s="1206">
        <v>20.55</v>
      </c>
      <c r="F77" s="1295"/>
      <c r="G77" s="1899"/>
      <c r="H77" s="1900"/>
      <c r="I77" s="1901"/>
      <c r="J77" s="1206"/>
      <c r="K77" s="1293"/>
    </row>
    <row r="78" spans="1:11" s="38" customFormat="1" ht="12.95" customHeight="1" x14ac:dyDescent="0.2">
      <c r="A78" s="1303"/>
      <c r="B78" s="1899" t="s">
        <v>1357</v>
      </c>
      <c r="C78" s="1900"/>
      <c r="D78" s="1901"/>
      <c r="E78" s="1206">
        <v>9.25</v>
      </c>
      <c r="F78" s="1295"/>
      <c r="G78" s="1899"/>
      <c r="H78" s="1900"/>
      <c r="I78" s="1901"/>
      <c r="J78" s="1206"/>
      <c r="K78" s="1293"/>
    </row>
    <row r="79" spans="1:11" s="38" customFormat="1" x14ac:dyDescent="0.2">
      <c r="A79" s="1303"/>
      <c r="B79" s="1899" t="s">
        <v>346</v>
      </c>
      <c r="C79" s="1900"/>
      <c r="D79" s="1901"/>
      <c r="E79" s="1206">
        <v>21.48</v>
      </c>
      <c r="F79" s="1295"/>
      <c r="G79" s="1899"/>
      <c r="H79" s="1900"/>
      <c r="I79" s="1901"/>
      <c r="J79" s="1206"/>
      <c r="K79" s="1293"/>
    </row>
    <row r="80" spans="1:11" s="38" customFormat="1" x14ac:dyDescent="0.2">
      <c r="A80" s="1303"/>
      <c r="B80" s="1899" t="s">
        <v>446</v>
      </c>
      <c r="C80" s="1900"/>
      <c r="D80" s="1901"/>
      <c r="E80" s="1206">
        <v>27.48</v>
      </c>
      <c r="F80" s="1295"/>
      <c r="G80" s="1899"/>
      <c r="H80" s="1900"/>
      <c r="I80" s="1901"/>
      <c r="J80" s="1206"/>
      <c r="K80" s="1293"/>
    </row>
    <row r="81" spans="1:11" s="38" customFormat="1" x14ac:dyDescent="0.2">
      <c r="A81" s="1303"/>
      <c r="B81" s="1893" t="s">
        <v>60</v>
      </c>
      <c r="C81" s="1894"/>
      <c r="D81" s="1895"/>
      <c r="E81" s="1332">
        <f>SUM(E56:E80)</f>
        <v>702.28000000000009</v>
      </c>
      <c r="F81" s="1295"/>
      <c r="G81" s="1893" t="s">
        <v>60</v>
      </c>
      <c r="H81" s="1894"/>
      <c r="I81" s="1895"/>
      <c r="J81" s="1332">
        <f>SUM(J56:J80)</f>
        <v>607.15999999999985</v>
      </c>
      <c r="K81" s="1293"/>
    </row>
    <row r="82" spans="1:11" s="38" customFormat="1" ht="13.5" thickBot="1" x14ac:dyDescent="0.25">
      <c r="A82" s="1303"/>
      <c r="B82" s="1298"/>
      <c r="C82" s="1298"/>
      <c r="D82" s="1298"/>
      <c r="E82" s="503"/>
      <c r="F82" s="1295"/>
      <c r="H82" s="1298"/>
      <c r="I82" s="1298"/>
      <c r="J82" s="1298"/>
      <c r="K82" s="1293"/>
    </row>
    <row r="83" spans="1:11" s="38" customFormat="1" ht="15" x14ac:dyDescent="0.25">
      <c r="A83" s="1303"/>
      <c r="B83" s="516"/>
      <c r="C83" s="517"/>
      <c r="D83" s="518" t="s">
        <v>263</v>
      </c>
      <c r="E83"/>
      <c r="F83"/>
      <c r="G83"/>
      <c r="H83"/>
      <c r="I83"/>
      <c r="J83"/>
      <c r="K83" s="1293"/>
    </row>
    <row r="84" spans="1:11" s="38" customFormat="1" ht="15.75" thickBot="1" x14ac:dyDescent="0.3">
      <c r="A84" s="1303"/>
      <c r="B84" s="519" t="s">
        <v>336</v>
      </c>
      <c r="C84" s="520" t="s">
        <v>72</v>
      </c>
      <c r="D84" s="521">
        <f>E81+J81</f>
        <v>1309.44</v>
      </c>
      <c r="E84"/>
      <c r="F84"/>
      <c r="G84"/>
      <c r="H84"/>
      <c r="I84"/>
      <c r="J84"/>
      <c r="K84" s="1293"/>
    </row>
    <row r="85" spans="1:11" s="38" customFormat="1" x14ac:dyDescent="0.2">
      <c r="A85" s="1303"/>
      <c r="B85"/>
      <c r="C85"/>
      <c r="D85"/>
      <c r="E85"/>
      <c r="F85"/>
      <c r="G85"/>
      <c r="H85"/>
      <c r="I85"/>
      <c r="J85"/>
      <c r="K85" s="1293"/>
    </row>
    <row r="86" spans="1:11" s="38" customFormat="1" x14ac:dyDescent="0.2">
      <c r="A86" s="1303"/>
      <c r="B86" s="1293"/>
      <c r="C86" s="1293"/>
      <c r="D86" s="1293"/>
      <c r="E86" s="1293"/>
      <c r="F86" s="1293"/>
      <c r="G86" s="1293"/>
      <c r="H86" s="1293"/>
      <c r="I86" s="1293"/>
      <c r="J86" s="1293"/>
      <c r="K86" s="1293"/>
    </row>
    <row r="87" spans="1:11" s="38" customFormat="1" x14ac:dyDescent="0.2">
      <c r="A87" s="1303"/>
      <c r="B87" s="1293"/>
      <c r="C87" s="1293"/>
      <c r="D87" s="1293"/>
      <c r="E87" s="1293"/>
      <c r="F87" s="1293"/>
      <c r="G87" s="1293"/>
      <c r="H87" s="1293"/>
      <c r="I87" s="1293"/>
      <c r="J87" s="1293"/>
      <c r="K87" s="1293"/>
    </row>
    <row r="88" spans="1:11" ht="27.75" customHeight="1" x14ac:dyDescent="0.2">
      <c r="A88" s="567" t="str">
        <f>ORÇ!A71</f>
        <v>6.3</v>
      </c>
      <c r="B88" s="1874" t="str">
        <f>ORÇ!D71</f>
        <v>REVESTIMENTO CERÂMICO PARA PISO COM PLACAS TIPO ESMALTADA EXTRA DE DIMENSÕES 35X35 CM APLICADA EM AMBIENTES DE ÁREA MAIOR QUE 10 M2. AF_06/2014</v>
      </c>
      <c r="C88" s="1874"/>
      <c r="D88" s="1874"/>
      <c r="E88" s="1874"/>
      <c r="F88" s="1874"/>
      <c r="G88" s="1874"/>
      <c r="H88" s="1874"/>
      <c r="I88" s="1874"/>
      <c r="J88" s="1874"/>
      <c r="K88" s="1874"/>
    </row>
    <row r="89" spans="1:11" ht="13.5" thickBot="1" x14ac:dyDescent="0.25">
      <c r="A89" s="420"/>
      <c r="B89" s="554"/>
      <c r="C89" s="420"/>
      <c r="D89" s="420"/>
      <c r="E89" s="420"/>
      <c r="F89" s="420"/>
      <c r="G89" s="420"/>
    </row>
    <row r="90" spans="1:11" ht="13.5" thickBot="1" x14ac:dyDescent="0.25">
      <c r="A90"/>
      <c r="B90" s="1918" t="s">
        <v>334</v>
      </c>
      <c r="C90" s="1919"/>
      <c r="E90" s="329"/>
      <c r="F90" s="329"/>
      <c r="G90" s="329"/>
    </row>
    <row r="91" spans="1:11" x14ac:dyDescent="0.2">
      <c r="A91" s="329"/>
      <c r="B91" s="514" t="s">
        <v>309</v>
      </c>
      <c r="C91" s="515" t="s">
        <v>335</v>
      </c>
      <c r="D91" s="329"/>
      <c r="E91" s="329"/>
      <c r="F91" s="329"/>
      <c r="G91" s="329"/>
      <c r="H91" s="329"/>
      <c r="I91" s="329"/>
      <c r="J91" s="329"/>
      <c r="K91" s="329"/>
    </row>
    <row r="92" spans="1:11" x14ac:dyDescent="0.2">
      <c r="A92" s="329"/>
      <c r="B92" s="1338" t="str">
        <f>B37</f>
        <v>W.C. Masc. 02</v>
      </c>
      <c r="C92" s="1173">
        <f>E37</f>
        <v>9</v>
      </c>
      <c r="D92" s="329"/>
      <c r="E92" s="329"/>
      <c r="F92" s="329"/>
      <c r="G92" s="329"/>
      <c r="H92" s="329"/>
      <c r="I92" s="329"/>
      <c r="J92" s="329"/>
      <c r="K92" s="329"/>
    </row>
    <row r="93" spans="1:11" x14ac:dyDescent="0.2">
      <c r="A93" s="329"/>
      <c r="B93" s="1338" t="str">
        <f t="shared" ref="B93:B94" si="0">B38</f>
        <v>W.C. Fem. 02</v>
      </c>
      <c r="C93" s="1173">
        <f t="shared" ref="C93:C94" si="1">E38</f>
        <v>9</v>
      </c>
      <c r="D93" s="329"/>
      <c r="E93" s="329"/>
      <c r="F93" s="329"/>
      <c r="G93" s="329"/>
      <c r="H93" s="329"/>
      <c r="I93" s="329"/>
      <c r="J93" s="329"/>
      <c r="K93" s="329"/>
    </row>
    <row r="94" spans="1:11" x14ac:dyDescent="0.2">
      <c r="A94" s="329"/>
      <c r="B94" s="1338" t="str">
        <f t="shared" si="0"/>
        <v>Área de Serviço</v>
      </c>
      <c r="C94" s="1173">
        <f t="shared" si="1"/>
        <v>16.7</v>
      </c>
      <c r="D94" s="329"/>
      <c r="E94" s="329"/>
      <c r="F94" s="329"/>
      <c r="G94" s="329"/>
      <c r="H94" s="329"/>
      <c r="I94" s="329"/>
      <c r="J94" s="329"/>
      <c r="K94" s="329"/>
    </row>
    <row r="95" spans="1:11" x14ac:dyDescent="0.2">
      <c r="A95" s="329"/>
      <c r="B95" s="1339" t="str">
        <f>B42</f>
        <v>Cozinha</v>
      </c>
      <c r="C95" s="1173">
        <f>E42</f>
        <v>32.549999999999997</v>
      </c>
      <c r="D95" s="329"/>
      <c r="E95" s="329"/>
      <c r="F95" s="329"/>
      <c r="G95" s="329"/>
      <c r="H95" s="329"/>
      <c r="I95" s="329"/>
      <c r="J95" s="329"/>
      <c r="K95" s="329"/>
    </row>
    <row r="96" spans="1:11" x14ac:dyDescent="0.2">
      <c r="A96" s="329"/>
      <c r="B96" s="1338" t="str">
        <f>B45</f>
        <v>WC PCD Fem.</v>
      </c>
      <c r="C96" s="1173">
        <f>E45</f>
        <v>4</v>
      </c>
      <c r="D96" s="329"/>
      <c r="E96" s="329"/>
      <c r="F96" s="329"/>
      <c r="G96" s="329"/>
      <c r="H96" s="329"/>
      <c r="I96" s="329"/>
      <c r="J96" s="329"/>
      <c r="K96" s="329"/>
    </row>
    <row r="97" spans="1:11" x14ac:dyDescent="0.2">
      <c r="A97" s="329"/>
      <c r="B97" s="1338" t="str">
        <f t="shared" ref="B97" si="2">B46</f>
        <v>W.C. Feminino 01</v>
      </c>
      <c r="C97" s="1173">
        <f>E46</f>
        <v>27.49</v>
      </c>
      <c r="D97" s="329"/>
      <c r="E97" s="329"/>
      <c r="F97" s="329"/>
      <c r="G97" s="329"/>
      <c r="H97" s="329"/>
      <c r="I97" s="329"/>
      <c r="J97" s="329"/>
      <c r="K97" s="329"/>
    </row>
    <row r="98" spans="1:11" x14ac:dyDescent="0.2">
      <c r="A98" s="329"/>
      <c r="B98" s="1338" t="str">
        <f>G19</f>
        <v>W.C. Masculino 01</v>
      </c>
      <c r="C98" s="1173">
        <f>J19</f>
        <v>23.65</v>
      </c>
      <c r="D98" s="329"/>
      <c r="E98" s="329"/>
      <c r="F98" s="329"/>
      <c r="G98" s="329"/>
      <c r="H98" s="329"/>
      <c r="I98" s="329"/>
      <c r="J98" s="329"/>
      <c r="K98" s="329"/>
    </row>
    <row r="99" spans="1:11" x14ac:dyDescent="0.2">
      <c r="A99" s="329"/>
      <c r="B99" s="1338" t="str">
        <f>G20</f>
        <v>WC PCD Masc.</v>
      </c>
      <c r="C99" s="1173">
        <f>J20</f>
        <v>4</v>
      </c>
      <c r="D99" s="329"/>
      <c r="E99" s="329"/>
      <c r="F99" s="329"/>
      <c r="G99" s="329"/>
      <c r="H99" s="329"/>
      <c r="I99" s="329"/>
      <c r="J99" s="329"/>
      <c r="K99" s="329"/>
    </row>
    <row r="100" spans="1:11" x14ac:dyDescent="0.2">
      <c r="A100" s="329"/>
      <c r="B100" s="1340" t="str">
        <f>G26</f>
        <v>Copa</v>
      </c>
      <c r="C100" s="1173">
        <f>J26</f>
        <v>11.73</v>
      </c>
      <c r="D100" s="329"/>
      <c r="E100" s="329"/>
      <c r="F100" s="329"/>
      <c r="G100" s="329"/>
      <c r="H100" s="329"/>
      <c r="I100" s="329"/>
      <c r="J100" s="329"/>
      <c r="K100" s="329"/>
    </row>
    <row r="101" spans="1:11" x14ac:dyDescent="0.2">
      <c r="A101" s="329"/>
      <c r="B101" s="1340" t="str">
        <f t="shared" ref="B101:B102" si="3">G27</f>
        <v>DML</v>
      </c>
      <c r="C101" s="1173">
        <f t="shared" ref="C101:C102" si="4">J27</f>
        <v>4.4000000000000004</v>
      </c>
      <c r="D101" s="329"/>
      <c r="E101" s="329"/>
      <c r="F101" s="329"/>
      <c r="G101" s="329"/>
      <c r="H101" s="329"/>
      <c r="I101" s="329"/>
      <c r="J101" s="329"/>
      <c r="K101" s="329"/>
    </row>
    <row r="102" spans="1:11" x14ac:dyDescent="0.2">
      <c r="A102" s="329"/>
      <c r="B102" s="1340" t="str">
        <f t="shared" si="3"/>
        <v>Banheiro 02</v>
      </c>
      <c r="C102" s="1173">
        <f t="shared" si="4"/>
        <v>4.55</v>
      </c>
      <c r="D102" s="329"/>
      <c r="E102" s="329"/>
      <c r="F102" s="329"/>
      <c r="G102" s="329"/>
      <c r="H102" s="329"/>
      <c r="I102" s="329"/>
      <c r="J102" s="329"/>
      <c r="K102" s="329"/>
    </row>
    <row r="103" spans="1:11" ht="13.5" thickBot="1" x14ac:dyDescent="0.25">
      <c r="A103" s="329"/>
      <c r="B103" s="589" t="str">
        <f>G30</f>
        <v>Banheiro 01</v>
      </c>
      <c r="C103" s="1174">
        <f>J30</f>
        <v>6.37</v>
      </c>
      <c r="D103" s="329"/>
      <c r="E103" s="329"/>
      <c r="F103" s="329"/>
      <c r="G103" s="329"/>
      <c r="H103" s="329"/>
      <c r="I103" s="329"/>
      <c r="J103" s="329"/>
      <c r="K103" s="329"/>
    </row>
    <row r="104" spans="1:11" ht="13.5" thickBot="1" x14ac:dyDescent="0.25">
      <c r="A104" s="329"/>
      <c r="B104" s="586"/>
      <c r="C104" s="584"/>
      <c r="D104" s="329"/>
      <c r="E104" s="590"/>
      <c r="F104" s="584"/>
      <c r="G104" s="329"/>
      <c r="H104" s="329"/>
      <c r="I104" s="329"/>
      <c r="J104" s="329"/>
      <c r="K104" s="329"/>
    </row>
    <row r="105" spans="1:11" ht="13.5" thickBot="1" x14ac:dyDescent="0.25">
      <c r="A105" s="329"/>
      <c r="B105" s="1341" t="s">
        <v>263</v>
      </c>
      <c r="C105" s="1342">
        <f>SUM(C92:C103)</f>
        <v>153.44</v>
      </c>
      <c r="D105" s="329"/>
      <c r="G105" s="329"/>
      <c r="H105" s="329"/>
      <c r="I105" s="329"/>
      <c r="J105" s="329"/>
      <c r="K105" s="329"/>
    </row>
    <row r="106" spans="1:11" x14ac:dyDescent="0.2">
      <c r="A106" s="329"/>
      <c r="B106" s="329"/>
      <c r="C106" s="329"/>
      <c r="D106" s="329"/>
      <c r="E106" s="329"/>
      <c r="F106" s="329"/>
      <c r="G106" s="329"/>
      <c r="H106" s="590"/>
      <c r="I106" s="584"/>
      <c r="J106" s="329"/>
      <c r="K106" s="329"/>
    </row>
    <row r="107" spans="1:11" x14ac:dyDescent="0.2">
      <c r="A107" s="420"/>
      <c r="B107" s="348"/>
      <c r="C107" s="29"/>
      <c r="D107" s="329"/>
      <c r="E107" s="329"/>
      <c r="F107" s="329"/>
      <c r="G107" s="329"/>
      <c r="H107" s="19"/>
      <c r="I107" s="19"/>
      <c r="J107" s="120"/>
    </row>
    <row r="108" spans="1:11" ht="29.25" customHeight="1" x14ac:dyDescent="0.2">
      <c r="A108" s="567" t="str">
        <f>ORÇ!A72</f>
        <v>6.4</v>
      </c>
      <c r="B108" s="1874" t="str">
        <f>ORÇ!D72</f>
        <v>EXECUÇÃO DE PASSEIO (CALÇADA) OU PISO DE CONCRETO COM CONCRETO MOLDADO IN LOCO, USINADO, ACABAMENTO CONVENCIONAL, NÃO ARMADO. AF_07/2016</v>
      </c>
      <c r="C108" s="1874"/>
      <c r="D108" s="1874"/>
      <c r="E108" s="1874"/>
      <c r="F108" s="1874"/>
      <c r="G108" s="1874"/>
      <c r="H108" s="1874"/>
      <c r="I108" s="1874"/>
      <c r="J108" s="1874"/>
      <c r="K108" s="1874"/>
    </row>
    <row r="109" spans="1:11" x14ac:dyDescent="0.2">
      <c r="A109" s="420"/>
      <c r="B109" s="554"/>
      <c r="C109" s="420"/>
      <c r="D109" s="420"/>
      <c r="E109" s="420"/>
      <c r="F109" s="420"/>
      <c r="G109" s="420"/>
      <c r="H109" s="420"/>
      <c r="I109" s="420"/>
      <c r="J109" s="420"/>
    </row>
    <row r="110" spans="1:11" x14ac:dyDescent="0.2">
      <c r="A110" s="639"/>
      <c r="B110" s="586" t="s">
        <v>224</v>
      </c>
      <c r="C110" s="711" t="s">
        <v>225</v>
      </c>
      <c r="D110" s="586"/>
      <c r="E110" s="711" t="s">
        <v>331</v>
      </c>
      <c r="F110" s="586"/>
      <c r="G110" s="711" t="s">
        <v>263</v>
      </c>
      <c r="H110" s="586"/>
      <c r="I110" s="711" t="s">
        <v>1174</v>
      </c>
      <c r="J110" s="639"/>
      <c r="K110" s="639"/>
    </row>
    <row r="111" spans="1:11" x14ac:dyDescent="0.2">
      <c r="B111" s="1922" t="s">
        <v>676</v>
      </c>
      <c r="C111" s="584">
        <v>9</v>
      </c>
      <c r="D111" s="711" t="s">
        <v>71</v>
      </c>
      <c r="E111" s="584">
        <v>0.5</v>
      </c>
      <c r="F111" s="711" t="s">
        <v>72</v>
      </c>
      <c r="G111" s="584">
        <f t="shared" ref="G111:G127" si="5">ROUND(C111*E111,2)</f>
        <v>4.5</v>
      </c>
      <c r="H111" s="711" t="s">
        <v>71</v>
      </c>
      <c r="I111" s="584">
        <v>0.06</v>
      </c>
      <c r="J111" s="1201" t="s">
        <v>72</v>
      </c>
      <c r="K111" s="1203">
        <f>ROUND((G111*I111),2)</f>
        <v>0.27</v>
      </c>
    </row>
    <row r="112" spans="1:11" x14ac:dyDescent="0.2">
      <c r="B112" s="1922"/>
      <c r="C112" s="584">
        <v>21.25</v>
      </c>
      <c r="D112" s="711" t="s">
        <v>71</v>
      </c>
      <c r="E112" s="584">
        <v>0.5</v>
      </c>
      <c r="F112" s="711" t="s">
        <v>72</v>
      </c>
      <c r="G112" s="584">
        <f t="shared" si="5"/>
        <v>10.63</v>
      </c>
      <c r="H112" s="711" t="s">
        <v>71</v>
      </c>
      <c r="I112" s="584">
        <v>0.06</v>
      </c>
      <c r="J112" s="1201" t="s">
        <v>72</v>
      </c>
      <c r="K112" s="1203">
        <f t="shared" ref="K112:K132" si="6">ROUND((G112*I112),2)</f>
        <v>0.64</v>
      </c>
    </row>
    <row r="113" spans="1:11" x14ac:dyDescent="0.2">
      <c r="A113" s="814"/>
      <c r="B113" s="1922" t="s">
        <v>675</v>
      </c>
      <c r="C113" s="584">
        <v>2.95</v>
      </c>
      <c r="D113" s="711" t="s">
        <v>71</v>
      </c>
      <c r="E113" s="584">
        <v>0.5</v>
      </c>
      <c r="F113" s="711" t="s">
        <v>72</v>
      </c>
      <c r="G113" s="584">
        <f t="shared" si="5"/>
        <v>1.48</v>
      </c>
      <c r="H113" s="711" t="s">
        <v>71</v>
      </c>
      <c r="I113" s="584">
        <v>0.06</v>
      </c>
      <c r="J113" s="1201" t="s">
        <v>72</v>
      </c>
      <c r="K113" s="1203">
        <f t="shared" si="6"/>
        <v>0.09</v>
      </c>
    </row>
    <row r="114" spans="1:11" x14ac:dyDescent="0.2">
      <c r="A114" s="814"/>
      <c r="B114" s="1922"/>
      <c r="C114" s="584">
        <v>18.7</v>
      </c>
      <c r="D114" s="711" t="s">
        <v>71</v>
      </c>
      <c r="E114" s="584">
        <v>0.5</v>
      </c>
      <c r="F114" s="711" t="s">
        <v>72</v>
      </c>
      <c r="G114" s="584">
        <f t="shared" si="5"/>
        <v>9.35</v>
      </c>
      <c r="H114" s="711" t="s">
        <v>71</v>
      </c>
      <c r="I114" s="584">
        <v>0.06</v>
      </c>
      <c r="J114" s="1201" t="s">
        <v>72</v>
      </c>
      <c r="K114" s="1203">
        <f t="shared" si="6"/>
        <v>0.56000000000000005</v>
      </c>
    </row>
    <row r="115" spans="1:11" x14ac:dyDescent="0.2">
      <c r="A115" s="814"/>
      <c r="B115" s="1922"/>
      <c r="C115" s="584">
        <v>3.3</v>
      </c>
      <c r="D115" s="711" t="s">
        <v>71</v>
      </c>
      <c r="E115" s="584">
        <v>0.5</v>
      </c>
      <c r="F115" s="711" t="s">
        <v>72</v>
      </c>
      <c r="G115" s="584">
        <f t="shared" si="5"/>
        <v>1.65</v>
      </c>
      <c r="H115" s="711" t="s">
        <v>71</v>
      </c>
      <c r="I115" s="584">
        <v>0.06</v>
      </c>
      <c r="J115" s="1201" t="s">
        <v>72</v>
      </c>
      <c r="K115" s="1203">
        <f t="shared" si="6"/>
        <v>0.1</v>
      </c>
    </row>
    <row r="116" spans="1:11" x14ac:dyDescent="0.2">
      <c r="A116" s="814"/>
      <c r="B116" s="1922"/>
      <c r="C116" s="584">
        <v>12.65</v>
      </c>
      <c r="D116" s="711" t="s">
        <v>71</v>
      </c>
      <c r="E116" s="584">
        <v>0.5</v>
      </c>
      <c r="F116" s="711" t="s">
        <v>72</v>
      </c>
      <c r="G116" s="584">
        <f t="shared" si="5"/>
        <v>6.33</v>
      </c>
      <c r="H116" s="711" t="s">
        <v>71</v>
      </c>
      <c r="I116" s="584">
        <v>0.06</v>
      </c>
      <c r="J116" s="1201" t="s">
        <v>72</v>
      </c>
      <c r="K116" s="1203">
        <f t="shared" si="6"/>
        <v>0.38</v>
      </c>
    </row>
    <row r="117" spans="1:11" x14ac:dyDescent="0.2">
      <c r="A117" s="814"/>
      <c r="B117" s="1922"/>
      <c r="C117" s="584">
        <v>11.6</v>
      </c>
      <c r="D117" s="711" t="s">
        <v>71</v>
      </c>
      <c r="E117" s="584">
        <v>0.5</v>
      </c>
      <c r="F117" s="711" t="s">
        <v>72</v>
      </c>
      <c r="G117" s="584">
        <f t="shared" si="5"/>
        <v>5.8</v>
      </c>
      <c r="H117" s="711" t="s">
        <v>71</v>
      </c>
      <c r="I117" s="584">
        <v>0.06</v>
      </c>
      <c r="J117" s="1201" t="s">
        <v>72</v>
      </c>
      <c r="K117" s="1203">
        <f t="shared" si="6"/>
        <v>0.35</v>
      </c>
    </row>
    <row r="118" spans="1:11" x14ac:dyDescent="0.2">
      <c r="A118" s="637"/>
      <c r="B118" s="1924" t="s">
        <v>574</v>
      </c>
      <c r="C118" s="584">
        <v>12.82</v>
      </c>
      <c r="D118" s="711" t="s">
        <v>71</v>
      </c>
      <c r="E118" s="584">
        <v>4.75</v>
      </c>
      <c r="F118" s="711" t="s">
        <v>72</v>
      </c>
      <c r="G118" s="584">
        <f t="shared" si="5"/>
        <v>60.9</v>
      </c>
      <c r="H118" s="711" t="s">
        <v>71</v>
      </c>
      <c r="I118" s="584">
        <v>0.06</v>
      </c>
      <c r="J118" s="1201" t="s">
        <v>72</v>
      </c>
      <c r="K118" s="1203">
        <f t="shared" si="6"/>
        <v>3.65</v>
      </c>
    </row>
    <row r="119" spans="1:11" x14ac:dyDescent="0.2">
      <c r="A119" s="848"/>
      <c r="B119" s="1924"/>
      <c r="C119" s="584">
        <v>13.75</v>
      </c>
      <c r="D119" s="711" t="s">
        <v>71</v>
      </c>
      <c r="E119" s="584">
        <v>4.63</v>
      </c>
      <c r="F119" s="711" t="s">
        <v>72</v>
      </c>
      <c r="G119" s="584">
        <f t="shared" si="5"/>
        <v>63.66</v>
      </c>
      <c r="H119" s="711" t="s">
        <v>71</v>
      </c>
      <c r="I119" s="584">
        <v>0.06</v>
      </c>
      <c r="J119" s="1201" t="s">
        <v>72</v>
      </c>
      <c r="K119" s="1203">
        <f t="shared" si="6"/>
        <v>3.82</v>
      </c>
    </row>
    <row r="120" spans="1:11" x14ac:dyDescent="0.2">
      <c r="A120" s="637"/>
      <c r="B120" s="806" t="str">
        <f>'MOV. TER.3'!B34</f>
        <v>Patamar 1</v>
      </c>
      <c r="C120" s="584">
        <v>7.15</v>
      </c>
      <c r="D120" s="711" t="s">
        <v>71</v>
      </c>
      <c r="E120" s="584">
        <v>2.4500000000000002</v>
      </c>
      <c r="F120" s="711" t="s">
        <v>72</v>
      </c>
      <c r="G120" s="584">
        <f t="shared" si="5"/>
        <v>17.52</v>
      </c>
      <c r="H120" s="711" t="s">
        <v>71</v>
      </c>
      <c r="I120" s="584">
        <v>0.06</v>
      </c>
      <c r="J120" s="1201" t="s">
        <v>72</v>
      </c>
      <c r="K120" s="1203">
        <f t="shared" si="6"/>
        <v>1.05</v>
      </c>
    </row>
    <row r="121" spans="1:11" x14ac:dyDescent="0.2">
      <c r="A121" s="637"/>
      <c r="B121" s="806" t="str">
        <f>'MOV. TER.3'!B35</f>
        <v>Patamar 2</v>
      </c>
      <c r="C121" s="584">
        <v>9</v>
      </c>
      <c r="D121" s="711" t="s">
        <v>71</v>
      </c>
      <c r="E121" s="584">
        <v>2</v>
      </c>
      <c r="F121" s="711" t="s">
        <v>72</v>
      </c>
      <c r="G121" s="584">
        <f t="shared" si="5"/>
        <v>18</v>
      </c>
      <c r="H121" s="711" t="s">
        <v>71</v>
      </c>
      <c r="I121" s="584">
        <v>0.06</v>
      </c>
      <c r="J121" s="1201" t="s">
        <v>72</v>
      </c>
      <c r="K121" s="1203">
        <f t="shared" si="6"/>
        <v>1.08</v>
      </c>
    </row>
    <row r="122" spans="1:11" x14ac:dyDescent="0.2">
      <c r="A122" s="848"/>
      <c r="B122" s="806" t="s">
        <v>677</v>
      </c>
      <c r="C122" s="584">
        <v>1.85</v>
      </c>
      <c r="D122" s="711" t="s">
        <v>71</v>
      </c>
      <c r="E122" s="584">
        <v>2.2000000000000002</v>
      </c>
      <c r="F122" s="711" t="s">
        <v>72</v>
      </c>
      <c r="G122" s="584">
        <f t="shared" si="5"/>
        <v>4.07</v>
      </c>
      <c r="H122" s="711" t="s">
        <v>71</v>
      </c>
      <c r="I122" s="584">
        <v>0.06</v>
      </c>
      <c r="J122" s="1201" t="s">
        <v>72</v>
      </c>
      <c r="K122" s="1203">
        <f t="shared" si="6"/>
        <v>0.24</v>
      </c>
    </row>
    <row r="123" spans="1:11" x14ac:dyDescent="0.2">
      <c r="A123" s="765"/>
      <c r="B123" s="806" t="str">
        <f>'MOV. TER.3'!B39</f>
        <v>Rampa 1</v>
      </c>
      <c r="C123" s="584">
        <v>10</v>
      </c>
      <c r="D123" s="711" t="s">
        <v>71</v>
      </c>
      <c r="E123" s="584">
        <v>2.4500000000000002</v>
      </c>
      <c r="F123" s="711" t="s">
        <v>72</v>
      </c>
      <c r="G123" s="584">
        <f t="shared" si="5"/>
        <v>24.5</v>
      </c>
      <c r="H123" s="711" t="s">
        <v>71</v>
      </c>
      <c r="I123" s="584">
        <v>0.06</v>
      </c>
      <c r="J123" s="1201" t="s">
        <v>72</v>
      </c>
      <c r="K123" s="1203">
        <f t="shared" si="6"/>
        <v>1.47</v>
      </c>
    </row>
    <row r="124" spans="1:11" x14ac:dyDescent="0.2">
      <c r="A124" s="765"/>
      <c r="B124" s="806" t="str">
        <f>'MOV. TER.3'!B42</f>
        <v>Rampa 2</v>
      </c>
      <c r="C124" s="584">
        <v>4</v>
      </c>
      <c r="D124" s="711" t="s">
        <v>71</v>
      </c>
      <c r="E124" s="584">
        <v>2.7</v>
      </c>
      <c r="F124" s="711" t="s">
        <v>72</v>
      </c>
      <c r="G124" s="584">
        <f t="shared" si="5"/>
        <v>10.8</v>
      </c>
      <c r="H124" s="711" t="s">
        <v>71</v>
      </c>
      <c r="I124" s="584">
        <v>0.06</v>
      </c>
      <c r="J124" s="1201" t="s">
        <v>72</v>
      </c>
      <c r="K124" s="1203">
        <f t="shared" si="6"/>
        <v>0.65</v>
      </c>
    </row>
    <row r="125" spans="1:11" x14ac:dyDescent="0.2">
      <c r="A125" s="765"/>
      <c r="B125" s="806" t="str">
        <f>'MOV. TER.3'!B45</f>
        <v>Rampa 3</v>
      </c>
      <c r="C125" s="584">
        <v>7</v>
      </c>
      <c r="D125" s="711" t="s">
        <v>71</v>
      </c>
      <c r="E125" s="584">
        <v>3</v>
      </c>
      <c r="F125" s="711" t="s">
        <v>72</v>
      </c>
      <c r="G125" s="584">
        <f t="shared" si="5"/>
        <v>21</v>
      </c>
      <c r="H125" s="711" t="s">
        <v>71</v>
      </c>
      <c r="I125" s="584">
        <v>0.06</v>
      </c>
      <c r="J125" s="1201" t="s">
        <v>72</v>
      </c>
      <c r="K125" s="1203">
        <f t="shared" si="6"/>
        <v>1.26</v>
      </c>
    </row>
    <row r="126" spans="1:11" x14ac:dyDescent="0.2">
      <c r="A126" s="765"/>
      <c r="B126" s="806" t="str">
        <f>'MOV. TER.3'!B48</f>
        <v>Rampa 4</v>
      </c>
      <c r="C126" s="584">
        <v>4</v>
      </c>
      <c r="D126" s="711" t="s">
        <v>71</v>
      </c>
      <c r="E126" s="584">
        <v>2</v>
      </c>
      <c r="F126" s="711" t="s">
        <v>72</v>
      </c>
      <c r="G126" s="584">
        <f t="shared" si="5"/>
        <v>8</v>
      </c>
      <c r="H126" s="711" t="s">
        <v>71</v>
      </c>
      <c r="I126" s="584">
        <v>0.06</v>
      </c>
      <c r="J126" s="1201" t="s">
        <v>72</v>
      </c>
      <c r="K126" s="1203">
        <f t="shared" si="6"/>
        <v>0.48</v>
      </c>
    </row>
    <row r="127" spans="1:11" x14ac:dyDescent="0.2">
      <c r="A127" s="765"/>
      <c r="B127" s="806" t="str">
        <f>'MOV. TER.3'!B51</f>
        <v>Rampa 5</v>
      </c>
      <c r="C127" s="584">
        <v>9.5500000000000007</v>
      </c>
      <c r="D127" s="711" t="s">
        <v>71</v>
      </c>
      <c r="E127" s="584">
        <v>4.6879999999999997</v>
      </c>
      <c r="F127" s="711" t="s">
        <v>72</v>
      </c>
      <c r="G127" s="584">
        <f t="shared" si="5"/>
        <v>44.77</v>
      </c>
      <c r="H127" s="711" t="s">
        <v>71</v>
      </c>
      <c r="I127" s="584">
        <v>0.06</v>
      </c>
      <c r="J127" s="1201" t="s">
        <v>72</v>
      </c>
      <c r="K127" s="1203">
        <f t="shared" si="6"/>
        <v>2.69</v>
      </c>
    </row>
    <row r="128" spans="1:11" x14ac:dyDescent="0.2">
      <c r="A128" s="812"/>
      <c r="B128" s="849" t="s">
        <v>566</v>
      </c>
      <c r="C128" s="503">
        <v>22.5</v>
      </c>
      <c r="D128" s="503" t="s">
        <v>71</v>
      </c>
      <c r="E128" s="503">
        <v>5</v>
      </c>
      <c r="F128" s="503" t="s">
        <v>72</v>
      </c>
      <c r="G128" s="503">
        <f t="shared" ref="G128:G133" si="7">ROUND(C128*E128,2)</f>
        <v>112.5</v>
      </c>
      <c r="H128" s="711" t="s">
        <v>71</v>
      </c>
      <c r="I128" s="584">
        <v>0.06</v>
      </c>
      <c r="J128" s="1201" t="s">
        <v>72</v>
      </c>
      <c r="K128" s="1203">
        <f t="shared" si="6"/>
        <v>6.75</v>
      </c>
    </row>
    <row r="129" spans="1:11" x14ac:dyDescent="0.2">
      <c r="A129" s="812"/>
      <c r="B129" s="849" t="s">
        <v>567</v>
      </c>
      <c r="C129" s="503">
        <v>28.8</v>
      </c>
      <c r="D129" s="503" t="s">
        <v>71</v>
      </c>
      <c r="E129" s="503">
        <v>5</v>
      </c>
      <c r="F129" s="503" t="s">
        <v>72</v>
      </c>
      <c r="G129" s="503">
        <f t="shared" si="7"/>
        <v>144</v>
      </c>
      <c r="H129" s="711" t="s">
        <v>71</v>
      </c>
      <c r="I129" s="584">
        <v>0.06</v>
      </c>
      <c r="J129" s="1201" t="s">
        <v>72</v>
      </c>
      <c r="K129" s="1203">
        <f t="shared" si="6"/>
        <v>8.64</v>
      </c>
    </row>
    <row r="130" spans="1:11" x14ac:dyDescent="0.2">
      <c r="A130" s="812"/>
      <c r="B130" s="1923" t="s">
        <v>487</v>
      </c>
      <c r="C130" s="503">
        <v>22.06</v>
      </c>
      <c r="D130" s="503" t="s">
        <v>71</v>
      </c>
      <c r="E130" s="503">
        <v>4.9000000000000004</v>
      </c>
      <c r="F130" s="503" t="s">
        <v>72</v>
      </c>
      <c r="G130" s="503">
        <f t="shared" si="7"/>
        <v>108.09</v>
      </c>
      <c r="H130" s="711" t="s">
        <v>71</v>
      </c>
      <c r="I130" s="584">
        <v>0.06</v>
      </c>
      <c r="J130" s="1201" t="s">
        <v>72</v>
      </c>
      <c r="K130" s="1203">
        <f t="shared" si="6"/>
        <v>6.49</v>
      </c>
    </row>
    <row r="131" spans="1:11" x14ac:dyDescent="0.2">
      <c r="A131" s="812"/>
      <c r="B131" s="1923"/>
      <c r="C131" s="503">
        <v>10.76</v>
      </c>
      <c r="D131" s="503" t="s">
        <v>71</v>
      </c>
      <c r="E131" s="503">
        <v>2</v>
      </c>
      <c r="F131" s="503" t="s">
        <v>72</v>
      </c>
      <c r="G131" s="503">
        <f t="shared" si="7"/>
        <v>21.52</v>
      </c>
      <c r="H131" s="711" t="s">
        <v>71</v>
      </c>
      <c r="I131" s="584">
        <v>0.06</v>
      </c>
      <c r="J131" s="1201" t="s">
        <v>72</v>
      </c>
      <c r="K131" s="1203">
        <f t="shared" si="6"/>
        <v>1.29</v>
      </c>
    </row>
    <row r="132" spans="1:11" ht="25.5" x14ac:dyDescent="0.2">
      <c r="A132" s="847"/>
      <c r="B132" s="849" t="s">
        <v>674</v>
      </c>
      <c r="C132" s="503">
        <v>67.099999999999994</v>
      </c>
      <c r="D132" s="503" t="s">
        <v>71</v>
      </c>
      <c r="E132" s="503">
        <v>1.5</v>
      </c>
      <c r="F132" s="503" t="s">
        <v>72</v>
      </c>
      <c r="G132" s="503">
        <f t="shared" si="7"/>
        <v>100.65</v>
      </c>
      <c r="H132" s="711" t="s">
        <v>71</v>
      </c>
      <c r="I132" s="584">
        <v>0.06</v>
      </c>
      <c r="J132" s="1201" t="s">
        <v>72</v>
      </c>
      <c r="K132" s="1203">
        <f t="shared" si="6"/>
        <v>6.04</v>
      </c>
    </row>
    <row r="133" spans="1:11" ht="25.5" x14ac:dyDescent="0.2">
      <c r="A133" s="847"/>
      <c r="B133" s="849" t="s">
        <v>673</v>
      </c>
      <c r="C133" s="503">
        <v>53.25</v>
      </c>
      <c r="D133" s="503" t="s">
        <v>71</v>
      </c>
      <c r="E133" s="503">
        <v>1.5</v>
      </c>
      <c r="F133" s="503" t="s">
        <v>72</v>
      </c>
      <c r="G133" s="503">
        <f t="shared" si="7"/>
        <v>79.88</v>
      </c>
      <c r="H133" s="711" t="s">
        <v>71</v>
      </c>
      <c r="I133" s="584">
        <v>0.06</v>
      </c>
      <c r="J133" s="1201" t="s">
        <v>72</v>
      </c>
      <c r="K133" s="1203">
        <f>ROUND((G133*I133),2)</f>
        <v>4.79</v>
      </c>
    </row>
    <row r="134" spans="1:11" x14ac:dyDescent="0.2">
      <c r="A134" s="814"/>
      <c r="B134" s="806"/>
      <c r="C134" s="584"/>
      <c r="D134" s="711"/>
      <c r="E134" s="584"/>
      <c r="F134" s="711"/>
      <c r="G134" s="584"/>
    </row>
    <row r="135" spans="1:11" x14ac:dyDescent="0.2">
      <c r="A135" s="848"/>
      <c r="B135" s="806" t="s">
        <v>290</v>
      </c>
      <c r="C135" s="584" t="s">
        <v>335</v>
      </c>
      <c r="D135" s="711"/>
      <c r="E135" s="711" t="s">
        <v>1174</v>
      </c>
      <c r="F135" s="711"/>
      <c r="G135" s="584"/>
    </row>
    <row r="136" spans="1:11" x14ac:dyDescent="0.2">
      <c r="A136" s="848"/>
      <c r="B136" s="806" t="s">
        <v>470</v>
      </c>
      <c r="C136" s="584">
        <v>110.99</v>
      </c>
      <c r="D136" s="711" t="s">
        <v>71</v>
      </c>
      <c r="E136" s="584">
        <v>0.06</v>
      </c>
      <c r="F136" s="1201" t="s">
        <v>72</v>
      </c>
      <c r="G136" s="1203">
        <f>ROUND((C136*E136),2)</f>
        <v>6.66</v>
      </c>
    </row>
    <row r="137" spans="1:11" x14ac:dyDescent="0.2">
      <c r="A137" s="848"/>
      <c r="B137" s="806" t="s">
        <v>466</v>
      </c>
      <c r="C137" s="584">
        <v>27.75</v>
      </c>
      <c r="D137" s="711" t="s">
        <v>71</v>
      </c>
      <c r="E137" s="584">
        <v>0.06</v>
      </c>
      <c r="F137" s="1201" t="s">
        <v>72</v>
      </c>
      <c r="G137" s="1203">
        <f t="shared" ref="G137:G142" si="8">ROUND((C137*E137),2)</f>
        <v>1.67</v>
      </c>
    </row>
    <row r="138" spans="1:11" x14ac:dyDescent="0.2">
      <c r="A138" s="848"/>
      <c r="B138" s="806" t="s">
        <v>471</v>
      </c>
      <c r="C138" s="584">
        <f>16.96*2.35</f>
        <v>39.856000000000002</v>
      </c>
      <c r="D138" s="711" t="s">
        <v>71</v>
      </c>
      <c r="E138" s="584">
        <v>0.06</v>
      </c>
      <c r="F138" s="1201" t="s">
        <v>72</v>
      </c>
      <c r="G138" s="1203">
        <f t="shared" si="8"/>
        <v>2.39</v>
      </c>
    </row>
    <row r="139" spans="1:11" x14ac:dyDescent="0.2">
      <c r="A139" s="848"/>
      <c r="B139" s="806" t="s">
        <v>469</v>
      </c>
      <c r="C139" s="584">
        <f>40.75*1.5</f>
        <v>61.125</v>
      </c>
      <c r="D139" s="711" t="s">
        <v>71</v>
      </c>
      <c r="E139" s="584">
        <v>0.06</v>
      </c>
      <c r="F139" s="1201" t="s">
        <v>72</v>
      </c>
      <c r="G139" s="1203">
        <f t="shared" si="8"/>
        <v>3.67</v>
      </c>
    </row>
    <row r="140" spans="1:11" x14ac:dyDescent="0.2">
      <c r="A140" s="848"/>
      <c r="B140" s="806" t="s">
        <v>468</v>
      </c>
      <c r="C140" s="584">
        <v>40.549999999999997</v>
      </c>
      <c r="D140" s="711" t="s">
        <v>71</v>
      </c>
      <c r="E140" s="584">
        <v>0.06</v>
      </c>
      <c r="F140" s="1201" t="s">
        <v>72</v>
      </c>
      <c r="G140" s="1203">
        <f t="shared" si="8"/>
        <v>2.4300000000000002</v>
      </c>
    </row>
    <row r="141" spans="1:11" x14ac:dyDescent="0.2">
      <c r="A141" s="848"/>
      <c r="B141" s="806" t="s">
        <v>467</v>
      </c>
      <c r="C141" s="584">
        <f>3.65*3.5</f>
        <v>12.775</v>
      </c>
      <c r="D141" s="711" t="s">
        <v>71</v>
      </c>
      <c r="E141" s="584">
        <v>0.06</v>
      </c>
      <c r="F141" s="1201" t="s">
        <v>72</v>
      </c>
      <c r="G141" s="1203">
        <f t="shared" si="8"/>
        <v>0.77</v>
      </c>
    </row>
    <row r="142" spans="1:11" x14ac:dyDescent="0.2">
      <c r="A142" s="897"/>
      <c r="B142" s="898" t="s">
        <v>817</v>
      </c>
      <c r="C142" s="584">
        <v>52.03</v>
      </c>
      <c r="D142" s="711" t="s">
        <v>71</v>
      </c>
      <c r="E142" s="584">
        <v>0.06</v>
      </c>
      <c r="F142" s="1201" t="s">
        <v>72</v>
      </c>
      <c r="G142" s="1203">
        <f t="shared" si="8"/>
        <v>3.12</v>
      </c>
    </row>
    <row r="143" spans="1:11" ht="13.5" thickBot="1" x14ac:dyDescent="0.25">
      <c r="A143" s="765"/>
      <c r="B143" s="590"/>
      <c r="C143" s="584"/>
      <c r="D143" s="711"/>
      <c r="E143" s="584"/>
      <c r="F143" s="711"/>
      <c r="G143" s="584"/>
    </row>
    <row r="144" spans="1:11" ht="13.5" thickBot="1" x14ac:dyDescent="0.25">
      <c r="B144" s="1920" t="s">
        <v>584</v>
      </c>
      <c r="C144" s="1921"/>
      <c r="D144" s="592">
        <f>SUM(K111:K133)+SUM(G136:G142)</f>
        <v>73.490000000000009</v>
      </c>
      <c r="E144" s="557" t="s">
        <v>2</v>
      </c>
    </row>
    <row r="147" spans="1:11" x14ac:dyDescent="0.2">
      <c r="A147" s="567" t="str">
        <f>ORÇ!A73</f>
        <v>6.5</v>
      </c>
      <c r="B147" s="1874" t="str">
        <f>ORÇ!D73</f>
        <v>PLANTIO DE GRAMA EM PLACAS. AF_05/2018</v>
      </c>
      <c r="C147" s="1874"/>
      <c r="D147" s="1874"/>
      <c r="E147" s="1874"/>
      <c r="F147" s="1874"/>
      <c r="G147" s="1874"/>
      <c r="H147" s="1874"/>
      <c r="I147" s="1874"/>
      <c r="J147" s="1874"/>
      <c r="K147" s="1874"/>
    </row>
    <row r="148" spans="1:11" ht="13.5" thickBot="1" x14ac:dyDescent="0.25"/>
    <row r="149" spans="1:11" x14ac:dyDescent="0.2">
      <c r="B149" s="674" t="s">
        <v>224</v>
      </c>
      <c r="C149" s="675" t="s">
        <v>333</v>
      </c>
    </row>
    <row r="150" spans="1:11" x14ac:dyDescent="0.2">
      <c r="B150" s="204" t="s">
        <v>472</v>
      </c>
      <c r="C150" s="856">
        <v>5.72</v>
      </c>
    </row>
    <row r="151" spans="1:11" x14ac:dyDescent="0.2">
      <c r="A151" s="566"/>
      <c r="B151" s="204" t="s">
        <v>473</v>
      </c>
      <c r="C151" s="673">
        <v>22.4</v>
      </c>
      <c r="D151" s="329"/>
      <c r="E151" s="329"/>
      <c r="F151" s="329"/>
      <c r="G151" s="329"/>
      <c r="H151" s="329"/>
      <c r="I151" s="329"/>
      <c r="J151" s="329"/>
      <c r="K151" s="329"/>
    </row>
    <row r="152" spans="1:11" x14ac:dyDescent="0.2">
      <c r="A152" s="639"/>
      <c r="B152" s="204" t="s">
        <v>474</v>
      </c>
      <c r="C152" s="673">
        <f>18.45*1.1</f>
        <v>20.295000000000002</v>
      </c>
      <c r="D152" s="329"/>
      <c r="E152" s="329"/>
      <c r="F152" s="329"/>
      <c r="G152" s="329"/>
      <c r="H152" s="329"/>
      <c r="I152" s="329"/>
      <c r="J152" s="329"/>
      <c r="K152" s="329"/>
    </row>
    <row r="153" spans="1:11" x14ac:dyDescent="0.2">
      <c r="A153" s="639"/>
      <c r="B153" s="204" t="s">
        <v>475</v>
      </c>
      <c r="C153" s="673">
        <v>28.27</v>
      </c>
      <c r="D153" s="329"/>
      <c r="E153" s="329"/>
      <c r="F153" s="329"/>
      <c r="G153" s="329"/>
      <c r="H153" s="329"/>
      <c r="I153" s="329"/>
      <c r="J153" s="329"/>
      <c r="K153" s="329"/>
    </row>
    <row r="154" spans="1:11" x14ac:dyDescent="0.2">
      <c r="A154" s="639"/>
      <c r="B154" s="204" t="s">
        <v>476</v>
      </c>
      <c r="C154" s="673">
        <v>15.55</v>
      </c>
      <c r="D154" s="329"/>
      <c r="E154" s="329"/>
      <c r="F154" s="329"/>
      <c r="G154" s="329"/>
      <c r="H154" s="329"/>
      <c r="I154" s="329"/>
      <c r="J154" s="329"/>
      <c r="K154" s="329"/>
    </row>
    <row r="155" spans="1:11" x14ac:dyDescent="0.2">
      <c r="A155" s="639"/>
      <c r="B155" s="204" t="s">
        <v>477</v>
      </c>
      <c r="C155" s="673">
        <v>12.29</v>
      </c>
      <c r="D155" s="329"/>
      <c r="E155" s="329"/>
      <c r="F155" s="329"/>
      <c r="G155" s="329"/>
      <c r="H155" s="329"/>
      <c r="I155" s="329"/>
      <c r="J155" s="329"/>
      <c r="K155" s="329"/>
    </row>
    <row r="156" spans="1:11" x14ac:dyDescent="0.2">
      <c r="A156" s="639"/>
      <c r="B156" s="204" t="s">
        <v>478</v>
      </c>
      <c r="C156" s="673">
        <f>15*1.3</f>
        <v>19.5</v>
      </c>
      <c r="D156" s="329"/>
      <c r="E156" s="329"/>
      <c r="F156" s="329"/>
      <c r="G156" s="329"/>
      <c r="H156" s="329"/>
      <c r="I156" s="329"/>
      <c r="J156" s="329"/>
      <c r="K156" s="329"/>
    </row>
    <row r="157" spans="1:11" x14ac:dyDescent="0.2">
      <c r="A157" s="639"/>
      <c r="B157" s="204" t="s">
        <v>479</v>
      </c>
      <c r="C157" s="673">
        <f>1.45*9.05</f>
        <v>13.1225</v>
      </c>
      <c r="D157" s="329"/>
      <c r="E157" s="329"/>
      <c r="F157" s="329"/>
      <c r="G157" s="329"/>
      <c r="H157" s="329"/>
      <c r="I157" s="329"/>
      <c r="J157" s="329"/>
      <c r="K157" s="329"/>
    </row>
    <row r="158" spans="1:11" ht="13.5" thickBot="1" x14ac:dyDescent="0.25">
      <c r="A158" s="639"/>
      <c r="B158" s="859" t="s">
        <v>480</v>
      </c>
      <c r="C158" s="860">
        <f>1.3*1.95</f>
        <v>2.5350000000000001</v>
      </c>
      <c r="D158" s="329"/>
      <c r="E158" s="329"/>
      <c r="F158" s="329"/>
      <c r="G158" s="329"/>
      <c r="H158" s="329"/>
      <c r="I158" s="329"/>
      <c r="J158" s="329"/>
      <c r="K158" s="329"/>
    </row>
    <row r="159" spans="1:11" x14ac:dyDescent="0.2">
      <c r="A159" s="639"/>
      <c r="B159" s="531"/>
      <c r="C159" s="586"/>
      <c r="D159" s="329"/>
      <c r="E159" s="329"/>
      <c r="F159" s="329"/>
      <c r="G159" s="329"/>
      <c r="H159" s="329"/>
      <c r="I159" s="329"/>
      <c r="J159" s="329"/>
      <c r="K159" s="329"/>
    </row>
    <row r="160" spans="1:11" ht="13.5" thickBot="1" x14ac:dyDescent="0.25"/>
    <row r="161" spans="1:11" ht="13.5" thickBot="1" x14ac:dyDescent="0.25">
      <c r="B161" s="588" t="s">
        <v>306</v>
      </c>
      <c r="C161" s="807">
        <f>SUM(C150:C158)</f>
        <v>139.6825</v>
      </c>
      <c r="D161" s="591" t="s">
        <v>6</v>
      </c>
    </row>
    <row r="163" spans="1:11" x14ac:dyDescent="0.2">
      <c r="A163" s="855" t="str">
        <f>ORÇ!A74</f>
        <v>6.6</v>
      </c>
      <c r="B163" s="1874" t="str">
        <f>ORÇ!D74</f>
        <v>EXECUÇÃO DE PAVIMENTO EM PISO INTERTRAVADO, COM BLOCO PISOGRAMA DE 35 X 25 CM, ESPESSURA 6 CM. AF_12/2015</v>
      </c>
      <c r="C163" s="1874"/>
      <c r="D163" s="1874"/>
      <c r="E163" s="1874"/>
      <c r="F163" s="1874"/>
      <c r="G163" s="1874"/>
      <c r="H163" s="1874"/>
      <c r="I163" s="1874"/>
      <c r="J163" s="1874"/>
      <c r="K163" s="1874"/>
    </row>
    <row r="164" spans="1:11" ht="13.5" thickBot="1" x14ac:dyDescent="0.25">
      <c r="A164" s="854"/>
    </row>
    <row r="165" spans="1:11" x14ac:dyDescent="0.2">
      <c r="A165" s="854"/>
      <c r="B165" s="674" t="s">
        <v>224</v>
      </c>
      <c r="C165" s="675" t="s">
        <v>333</v>
      </c>
    </row>
    <row r="166" spans="1:11" x14ac:dyDescent="0.2">
      <c r="A166" s="662"/>
      <c r="B166" s="204" t="s">
        <v>605</v>
      </c>
      <c r="C166" s="673">
        <v>35.020000000000003</v>
      </c>
      <c r="D166" s="329"/>
      <c r="E166" s="329"/>
      <c r="F166" s="329"/>
      <c r="G166" s="329"/>
      <c r="H166" s="329"/>
      <c r="I166" s="329"/>
      <c r="J166" s="329"/>
      <c r="K166" s="329"/>
    </row>
    <row r="167" spans="1:11" ht="13.5" thickBot="1" x14ac:dyDescent="0.25">
      <c r="A167" s="662"/>
      <c r="B167" s="859" t="s">
        <v>606</v>
      </c>
      <c r="C167" s="860">
        <v>43.17</v>
      </c>
      <c r="D167" s="329"/>
      <c r="E167" s="329"/>
      <c r="F167" s="329"/>
      <c r="G167" s="329"/>
      <c r="H167" s="329"/>
      <c r="I167" s="329"/>
      <c r="J167" s="329"/>
      <c r="K167" s="329"/>
    </row>
    <row r="168" spans="1:11" ht="13.5" thickBot="1" x14ac:dyDescent="0.25">
      <c r="A168" s="854"/>
    </row>
    <row r="169" spans="1:11" ht="13.5" thickBot="1" x14ac:dyDescent="0.25">
      <c r="A169" s="854"/>
      <c r="B169" s="588" t="s">
        <v>306</v>
      </c>
      <c r="C169" s="807">
        <f>SUM(C166:C167)</f>
        <v>78.19</v>
      </c>
      <c r="D169" s="591" t="s">
        <v>6</v>
      </c>
    </row>
    <row r="170" spans="1:11" x14ac:dyDescent="0.2">
      <c r="A170" s="854"/>
    </row>
    <row r="171" spans="1:11" x14ac:dyDescent="0.2">
      <c r="A171" s="854"/>
    </row>
    <row r="172" spans="1:11" x14ac:dyDescent="0.2">
      <c r="A172" s="745" t="str">
        <f>ORÇ!A75</f>
        <v>6.7</v>
      </c>
      <c r="B172" s="1874" t="str">
        <f>ORÇ!D75</f>
        <v>Meio-fio em concreto nas dimensões 0,15m x 0,12m sem lâmina d'água</v>
      </c>
      <c r="C172" s="1874"/>
      <c r="D172" s="1874"/>
      <c r="E172" s="1874"/>
      <c r="F172" s="1874"/>
      <c r="G172" s="1874"/>
      <c r="H172" s="1874"/>
      <c r="I172" s="1874"/>
      <c r="J172" s="1874"/>
      <c r="K172" s="1874"/>
    </row>
    <row r="174" spans="1:11" x14ac:dyDescent="0.2">
      <c r="B174" s="743" t="s">
        <v>472</v>
      </c>
      <c r="C174" s="744"/>
    </row>
    <row r="175" spans="1:11" x14ac:dyDescent="0.2">
      <c r="A175" s="744"/>
      <c r="B175" s="1917" t="s">
        <v>254</v>
      </c>
      <c r="C175" s="1917"/>
      <c r="E175" s="747" t="s">
        <v>255</v>
      </c>
    </row>
    <row r="176" spans="1:11" x14ac:dyDescent="0.2">
      <c r="A176" s="744"/>
      <c r="B176" s="530">
        <v>2.2799999999999998</v>
      </c>
      <c r="C176" s="530">
        <v>2.54</v>
      </c>
      <c r="E176" s="577">
        <f>ROUND(B176+C176,2)</f>
        <v>4.82</v>
      </c>
    </row>
    <row r="177" spans="1:7" x14ac:dyDescent="0.2">
      <c r="A177" s="744"/>
      <c r="B177" s="38"/>
    </row>
    <row r="178" spans="1:7" x14ac:dyDescent="0.2">
      <c r="B178" s="743" t="s">
        <v>473</v>
      </c>
      <c r="C178" s="744"/>
    </row>
    <row r="179" spans="1:7" ht="24.75" customHeight="1" x14ac:dyDescent="0.2">
      <c r="A179" s="744"/>
      <c r="B179" s="1917" t="s">
        <v>254</v>
      </c>
      <c r="C179" s="1917"/>
      <c r="E179" s="747" t="s">
        <v>255</v>
      </c>
    </row>
    <row r="180" spans="1:7" x14ac:dyDescent="0.2">
      <c r="A180" s="744"/>
      <c r="B180" s="530">
        <v>12.4</v>
      </c>
      <c r="C180" s="530">
        <v>3.9</v>
      </c>
      <c r="E180" s="577">
        <f>ROUND(B180+C180,2)</f>
        <v>16.3</v>
      </c>
    </row>
    <row r="181" spans="1:7" x14ac:dyDescent="0.2">
      <c r="A181" s="744"/>
      <c r="B181" s="38"/>
    </row>
    <row r="182" spans="1:7" x14ac:dyDescent="0.2">
      <c r="A182" s="744"/>
      <c r="B182" s="38"/>
    </row>
    <row r="183" spans="1:7" x14ac:dyDescent="0.2">
      <c r="B183" s="38" t="s">
        <v>474</v>
      </c>
    </row>
    <row r="184" spans="1:7" x14ac:dyDescent="0.2">
      <c r="A184" s="744"/>
      <c r="B184" s="1917" t="s">
        <v>254</v>
      </c>
      <c r="C184" s="1917"/>
      <c r="D184" s="1917"/>
      <c r="F184" s="747" t="s">
        <v>255</v>
      </c>
    </row>
    <row r="185" spans="1:7" x14ac:dyDescent="0.2">
      <c r="A185" s="744"/>
      <c r="B185" s="530">
        <v>1.1000000000000001</v>
      </c>
      <c r="C185" s="530">
        <v>18.47</v>
      </c>
      <c r="D185" s="530">
        <v>1.1000000000000001</v>
      </c>
      <c r="F185" s="577">
        <f>ROUND(C185+D185+B185,2)</f>
        <v>20.67</v>
      </c>
    </row>
    <row r="186" spans="1:7" x14ac:dyDescent="0.2">
      <c r="A186" s="744"/>
      <c r="B186" s="38"/>
    </row>
    <row r="187" spans="1:7" x14ac:dyDescent="0.2">
      <c r="A187" s="744"/>
      <c r="B187" s="38"/>
    </row>
    <row r="188" spans="1:7" x14ac:dyDescent="0.2">
      <c r="B188" s="38" t="s">
        <v>475</v>
      </c>
    </row>
    <row r="189" spans="1:7" x14ac:dyDescent="0.2">
      <c r="A189" s="744"/>
      <c r="B189" s="1917" t="s">
        <v>254</v>
      </c>
      <c r="C189" s="1917"/>
      <c r="D189" s="1917"/>
      <c r="E189" s="1917"/>
      <c r="G189" s="747" t="s">
        <v>255</v>
      </c>
    </row>
    <row r="190" spans="1:7" x14ac:dyDescent="0.2">
      <c r="A190" s="744"/>
      <c r="B190" s="530">
        <v>1.06</v>
      </c>
      <c r="C190" s="530">
        <v>22.5</v>
      </c>
      <c r="D190" s="530">
        <v>1.35</v>
      </c>
      <c r="E190" s="530">
        <v>2</v>
      </c>
      <c r="F190" s="484"/>
      <c r="G190" s="577">
        <f>ROUND(D190+E190+C190+B190,2)</f>
        <v>26.91</v>
      </c>
    </row>
    <row r="191" spans="1:7" x14ac:dyDescent="0.2">
      <c r="A191" s="744"/>
      <c r="B191" s="38"/>
    </row>
    <row r="192" spans="1:7" x14ac:dyDescent="0.2">
      <c r="A192" s="744"/>
      <c r="B192" s="38"/>
    </row>
    <row r="193" spans="1:9" x14ac:dyDescent="0.2">
      <c r="B193" s="38" t="s">
        <v>476</v>
      </c>
    </row>
    <row r="194" spans="1:9" x14ac:dyDescent="0.2">
      <c r="A194" s="744"/>
      <c r="B194" s="1917" t="s">
        <v>254</v>
      </c>
      <c r="C194" s="1917"/>
      <c r="D194" s="1917"/>
      <c r="E194" s="1917"/>
      <c r="G194" s="747" t="s">
        <v>255</v>
      </c>
    </row>
    <row r="195" spans="1:9" x14ac:dyDescent="0.2">
      <c r="A195" s="744"/>
      <c r="B195" s="530">
        <v>5.75</v>
      </c>
      <c r="C195" s="530">
        <v>2.7</v>
      </c>
      <c r="D195" s="530">
        <v>5.75</v>
      </c>
      <c r="E195" s="530">
        <v>2.7</v>
      </c>
      <c r="F195" s="484"/>
      <c r="G195" s="577">
        <f>ROUND(D195+E195+C195+B195,2)</f>
        <v>16.899999999999999</v>
      </c>
      <c r="H195" s="484"/>
    </row>
    <row r="196" spans="1:9" x14ac:dyDescent="0.2">
      <c r="A196" s="744"/>
      <c r="B196" s="38"/>
    </row>
    <row r="197" spans="1:9" x14ac:dyDescent="0.2">
      <c r="B197" s="38" t="s">
        <v>477</v>
      </c>
    </row>
    <row r="198" spans="1:9" x14ac:dyDescent="0.2">
      <c r="A198" s="744"/>
      <c r="B198" s="1917" t="s">
        <v>254</v>
      </c>
      <c r="C198" s="1917"/>
      <c r="D198" s="1917"/>
      <c r="E198" s="1917"/>
      <c r="G198" s="747" t="s">
        <v>255</v>
      </c>
    </row>
    <row r="199" spans="1:9" x14ac:dyDescent="0.2">
      <c r="A199" s="744"/>
      <c r="B199" s="530">
        <v>4.55</v>
      </c>
      <c r="C199" s="530">
        <v>2.7</v>
      </c>
      <c r="D199" s="530">
        <v>4.55</v>
      </c>
      <c r="E199" s="530">
        <v>2.7</v>
      </c>
      <c r="F199" s="484"/>
      <c r="G199" s="577">
        <f>ROUND(D199+E199+C199+B199,2)</f>
        <v>14.5</v>
      </c>
      <c r="H199" s="484"/>
    </row>
    <row r="200" spans="1:9" x14ac:dyDescent="0.2">
      <c r="A200" s="744"/>
      <c r="B200" s="484"/>
      <c r="C200" s="484"/>
      <c r="D200" s="484"/>
      <c r="E200" s="484"/>
      <c r="F200" s="484"/>
      <c r="G200" s="484"/>
      <c r="H200" s="484"/>
    </row>
    <row r="201" spans="1:9" x14ac:dyDescent="0.2">
      <c r="A201" s="744"/>
      <c r="B201" s="38"/>
    </row>
    <row r="202" spans="1:9" x14ac:dyDescent="0.2">
      <c r="B202" s="650" t="s">
        <v>478</v>
      </c>
    </row>
    <row r="203" spans="1:9" x14ac:dyDescent="0.2">
      <c r="A203" s="744"/>
      <c r="B203" s="1917" t="s">
        <v>254</v>
      </c>
      <c r="C203" s="1917"/>
      <c r="E203" s="747" t="s">
        <v>255</v>
      </c>
    </row>
    <row r="204" spans="1:9" x14ac:dyDescent="0.2">
      <c r="A204" s="744"/>
      <c r="B204" s="530">
        <v>15</v>
      </c>
      <c r="C204" s="530">
        <v>1.3</v>
      </c>
      <c r="E204" s="577">
        <f>ROUND(C204+B204,2)</f>
        <v>16.3</v>
      </c>
      <c r="F204" s="484"/>
      <c r="G204" s="484"/>
      <c r="H204" s="484"/>
      <c r="I204" s="484"/>
    </row>
    <row r="205" spans="1:9" x14ac:dyDescent="0.2">
      <c r="A205" s="744"/>
      <c r="B205" s="38"/>
    </row>
    <row r="206" spans="1:9" x14ac:dyDescent="0.2">
      <c r="A206" s="744"/>
      <c r="B206" s="38"/>
    </row>
    <row r="207" spans="1:9" x14ac:dyDescent="0.2">
      <c r="B207" s="38" t="s">
        <v>479</v>
      </c>
    </row>
    <row r="208" spans="1:9" x14ac:dyDescent="0.2">
      <c r="A208" s="744"/>
      <c r="B208" s="1917" t="s">
        <v>254</v>
      </c>
      <c r="C208" s="1917"/>
      <c r="D208" s="1917"/>
      <c r="F208" s="747" t="s">
        <v>255</v>
      </c>
    </row>
    <row r="209" spans="1:11" x14ac:dyDescent="0.2">
      <c r="A209" s="744"/>
      <c r="B209" s="530">
        <v>1.45</v>
      </c>
      <c r="C209" s="530">
        <v>9.15</v>
      </c>
      <c r="D209" s="530">
        <v>1.45</v>
      </c>
      <c r="E209" s="484"/>
      <c r="F209" s="577">
        <f>ROUND(C209+D209+B209,2)</f>
        <v>12.05</v>
      </c>
      <c r="G209" s="484"/>
      <c r="H209" s="484"/>
    </row>
    <row r="210" spans="1:11" x14ac:dyDescent="0.2">
      <c r="A210" s="744"/>
      <c r="B210" s="38"/>
    </row>
    <row r="211" spans="1:11" x14ac:dyDescent="0.2">
      <c r="A211" s="744"/>
      <c r="B211" s="38"/>
    </row>
    <row r="212" spans="1:11" x14ac:dyDescent="0.2">
      <c r="B212" s="38" t="s">
        <v>480</v>
      </c>
    </row>
    <row r="213" spans="1:11" x14ac:dyDescent="0.2">
      <c r="B213" s="1917" t="s">
        <v>254</v>
      </c>
      <c r="C213" s="1917"/>
      <c r="D213" s="1917"/>
      <c r="F213" s="747" t="s">
        <v>255</v>
      </c>
    </row>
    <row r="214" spans="1:11" x14ac:dyDescent="0.2">
      <c r="B214" s="530">
        <v>1.3</v>
      </c>
      <c r="C214" s="530">
        <v>1.95</v>
      </c>
      <c r="D214" s="530">
        <v>1.3</v>
      </c>
      <c r="E214" s="484"/>
      <c r="F214" s="577">
        <f>ROUND(C214+D214+B214,2)</f>
        <v>4.55</v>
      </c>
      <c r="G214" s="484"/>
      <c r="H214" s="484"/>
      <c r="I214" s="484"/>
    </row>
    <row r="218" spans="1:11" x14ac:dyDescent="0.2">
      <c r="B218" s="753" t="s">
        <v>511</v>
      </c>
      <c r="C218" s="754">
        <f>F214+F209+E204+G199+G195+G190+F185+E180+E176</f>
        <v>133</v>
      </c>
      <c r="D218" s="753" t="s">
        <v>17</v>
      </c>
    </row>
    <row r="221" spans="1:11" x14ac:dyDescent="0.2">
      <c r="A221" s="877" t="str">
        <f>ORÇ!A76</f>
        <v>6.8</v>
      </c>
      <c r="B221" s="1874" t="str">
        <f>ORÇ!D76</f>
        <v>Piso de borracha tátil (16 un)</v>
      </c>
      <c r="C221" s="1874"/>
      <c r="D221" s="1874"/>
      <c r="E221" s="1874"/>
      <c r="F221" s="1874"/>
      <c r="G221" s="1874"/>
      <c r="H221" s="1874"/>
      <c r="I221" s="1874"/>
      <c r="J221" s="1874"/>
      <c r="K221" s="1874"/>
    </row>
    <row r="223" spans="1:11" ht="13.5" thickBot="1" x14ac:dyDescent="0.25">
      <c r="A223" s="1916" t="s">
        <v>775</v>
      </c>
      <c r="B223" s="1916"/>
      <c r="C223" s="1916"/>
      <c r="D223" s="1916"/>
      <c r="E223" s="1916"/>
    </row>
    <row r="224" spans="1:11" ht="13.5" thickBot="1" x14ac:dyDescent="0.25">
      <c r="B224" s="588" t="s">
        <v>306</v>
      </c>
      <c r="C224" s="807">
        <f>12.93+19.81</f>
        <v>32.739999999999995</v>
      </c>
      <c r="D224" s="591" t="s">
        <v>6</v>
      </c>
    </row>
    <row r="226" spans="1:11" x14ac:dyDescent="0.2">
      <c r="A226" s="877" t="str">
        <f>ORÇ!A77</f>
        <v>6.9</v>
      </c>
      <c r="B226" s="1874" t="str">
        <f>ORÇ!D77</f>
        <v>PisoTátil direcional na cor amarelo 25x25 premoldado (16 unidades)</v>
      </c>
      <c r="C226" s="1874"/>
      <c r="D226" s="1874"/>
      <c r="E226" s="1874"/>
      <c r="F226" s="1874"/>
      <c r="G226" s="1874"/>
      <c r="H226" s="1874"/>
      <c r="I226" s="1874"/>
      <c r="J226" s="1874"/>
      <c r="K226" s="1874"/>
    </row>
    <row r="227" spans="1:11" x14ac:dyDescent="0.2">
      <c r="A227" s="873"/>
    </row>
    <row r="228" spans="1:11" ht="13.5" thickBot="1" x14ac:dyDescent="0.25">
      <c r="A228" s="1916" t="s">
        <v>775</v>
      </c>
      <c r="B228" s="1916"/>
      <c r="C228" s="1916"/>
      <c r="D228" s="1916"/>
      <c r="E228" s="1916"/>
    </row>
    <row r="229" spans="1:11" ht="13.5" thickBot="1" x14ac:dyDescent="0.25">
      <c r="A229" s="873"/>
      <c r="B229" s="588" t="s">
        <v>306</v>
      </c>
      <c r="C229" s="807">
        <f>4.88+1.12</f>
        <v>6</v>
      </c>
      <c r="D229" s="591" t="s">
        <v>6</v>
      </c>
    </row>
    <row r="231" spans="1:11" x14ac:dyDescent="0.2">
      <c r="A231" s="877" t="str">
        <f>ORÇ!A78</f>
        <v>6.10</v>
      </c>
      <c r="B231" s="1874" t="str">
        <f>ORÇ!D78</f>
        <v>PISO EM GRANITO APLICADO EM CALÇADAS OU PISOS EXTERNOS. AF_05/2020</v>
      </c>
      <c r="C231" s="1874"/>
      <c r="D231" s="1874"/>
      <c r="E231" s="1874"/>
      <c r="F231" s="1874"/>
      <c r="G231" s="1874"/>
      <c r="H231" s="1874"/>
      <c r="I231" s="1874"/>
      <c r="J231" s="1874"/>
      <c r="K231" s="1874"/>
    </row>
    <row r="232" spans="1:11" x14ac:dyDescent="0.2">
      <c r="A232" s="873"/>
    </row>
    <row r="233" spans="1:11" x14ac:dyDescent="0.2">
      <c r="A233" s="873"/>
      <c r="B233" s="662" t="s">
        <v>309</v>
      </c>
      <c r="C233" s="662" t="s">
        <v>225</v>
      </c>
      <c r="D233" s="662"/>
      <c r="E233" s="662" t="s">
        <v>331</v>
      </c>
      <c r="F233" s="662"/>
      <c r="G233" s="662" t="s">
        <v>263</v>
      </c>
    </row>
    <row r="234" spans="1:11" x14ac:dyDescent="0.2">
      <c r="A234" s="873"/>
      <c r="B234" s="662" t="s">
        <v>777</v>
      </c>
      <c r="C234" s="662">
        <v>7.15</v>
      </c>
      <c r="D234" s="662" t="s">
        <v>71</v>
      </c>
      <c r="E234" s="662">
        <v>2.4500000000000002</v>
      </c>
      <c r="F234" s="662" t="s">
        <v>72</v>
      </c>
      <c r="G234" s="662">
        <f>ROUND(C234*E234,2)</f>
        <v>17.52</v>
      </c>
    </row>
    <row r="235" spans="1:11" ht="13.5" thickBot="1" x14ac:dyDescent="0.25">
      <c r="A235" s="873"/>
    </row>
    <row r="236" spans="1:11" ht="13.5" thickBot="1" x14ac:dyDescent="0.25">
      <c r="A236" s="873"/>
      <c r="B236" s="588" t="s">
        <v>306</v>
      </c>
      <c r="C236" s="807">
        <f>G234</f>
        <v>17.52</v>
      </c>
      <c r="D236" s="591" t="s">
        <v>6</v>
      </c>
    </row>
    <row r="237" spans="1:11" s="329" customFormat="1" x14ac:dyDescent="0.2">
      <c r="A237" s="507"/>
      <c r="B237"/>
      <c r="C237"/>
      <c r="D237"/>
      <c r="E237"/>
      <c r="F237"/>
      <c r="G237"/>
      <c r="H237"/>
      <c r="I237"/>
      <c r="J237"/>
      <c r="K237"/>
    </row>
    <row r="238" spans="1:11" x14ac:dyDescent="0.2">
      <c r="A238" s="877" t="str">
        <f>ORÇ!A79</f>
        <v>6.11</v>
      </c>
      <c r="B238" s="1874" t="str">
        <f>ORÇ!D79</f>
        <v>Meio-fio em concreto nas dimensões 0,30m x 0,12m sem lâmina d'água</v>
      </c>
      <c r="C238" s="1874"/>
      <c r="D238" s="1874"/>
      <c r="E238" s="1874"/>
      <c r="F238" s="1874"/>
      <c r="G238" s="1874"/>
      <c r="H238" s="1874"/>
      <c r="I238" s="1874"/>
      <c r="J238" s="1874"/>
      <c r="K238" s="1874"/>
    </row>
    <row r="240" spans="1:11" x14ac:dyDescent="0.2">
      <c r="B240" s="872" t="s">
        <v>224</v>
      </c>
      <c r="C240" s="872" t="s">
        <v>225</v>
      </c>
    </row>
    <row r="241" spans="1:11" x14ac:dyDescent="0.2">
      <c r="B241" s="38" t="s">
        <v>784</v>
      </c>
      <c r="C241" s="339">
        <v>67.099999999999994</v>
      </c>
    </row>
    <row r="242" spans="1:11" x14ac:dyDescent="0.2">
      <c r="B242" s="38" t="s">
        <v>785</v>
      </c>
      <c r="C242" s="339">
        <v>53.25</v>
      </c>
    </row>
    <row r="243" spans="1:11" ht="13.5" thickBot="1" x14ac:dyDescent="0.25"/>
    <row r="244" spans="1:11" ht="13.5" thickBot="1" x14ac:dyDescent="0.25">
      <c r="B244" s="588" t="s">
        <v>233</v>
      </c>
      <c r="C244" s="807">
        <f>SUM(C241:C242)</f>
        <v>120.35</v>
      </c>
      <c r="D244" s="591" t="s">
        <v>17</v>
      </c>
    </row>
    <row r="246" spans="1:11" x14ac:dyDescent="0.2">
      <c r="A246" s="877" t="str">
        <f>ORÇ!A80</f>
        <v>6.12</v>
      </c>
      <c r="B246" s="1874" t="str">
        <f>ORÇ!D80</f>
        <v>Rodape em Porcelanato</v>
      </c>
      <c r="C246" s="1874"/>
      <c r="D246" s="1874"/>
      <c r="E246" s="1874"/>
      <c r="F246" s="1874"/>
      <c r="G246" s="1874"/>
      <c r="H246" s="1874"/>
      <c r="I246" s="1874"/>
      <c r="J246" s="1874"/>
      <c r="K246" s="1874"/>
    </row>
    <row r="248" spans="1:11" x14ac:dyDescent="0.2">
      <c r="A248" s="873"/>
      <c r="B248" s="753" t="s">
        <v>290</v>
      </c>
      <c r="C248" s="753" t="s">
        <v>795</v>
      </c>
      <c r="F248" s="872"/>
      <c r="G248" s="872"/>
    </row>
    <row r="249" spans="1:11" x14ac:dyDescent="0.2">
      <c r="A249" s="873"/>
      <c r="B249" s="1372" t="str">
        <f>'PAR. 7'!B19</f>
        <v>Recepção 02</v>
      </c>
      <c r="C249" s="1372">
        <f>'PAR. 7'!C19</f>
        <v>14.799999999999999</v>
      </c>
      <c r="F249" s="892"/>
      <c r="G249" s="892"/>
    </row>
    <row r="250" spans="1:11" ht="38.25" x14ac:dyDescent="0.2">
      <c r="A250" s="873"/>
      <c r="B250" s="1372" t="str">
        <f>'PAR. 7'!B21</f>
        <v>Secretário + Eng e  Atendimento - Meio Ambiente</v>
      </c>
      <c r="C250" s="1372">
        <f>'PAR. 7'!C21</f>
        <v>9.07</v>
      </c>
      <c r="F250" s="892"/>
      <c r="G250" s="892"/>
    </row>
    <row r="251" spans="1:11" ht="25.5" x14ac:dyDescent="0.2">
      <c r="A251" s="873"/>
      <c r="B251" s="1372" t="str">
        <f>'PAR. 7'!B22</f>
        <v>Secretário de Esporte e Lazer</v>
      </c>
      <c r="C251" s="1372">
        <f>'PAR. 7'!C22</f>
        <v>6.43</v>
      </c>
      <c r="F251" s="892"/>
      <c r="G251" s="892"/>
    </row>
    <row r="252" spans="1:11" ht="25.5" x14ac:dyDescent="0.2">
      <c r="A252" s="873"/>
      <c r="B252" s="1372" t="str">
        <f>'PAR. 7'!B23</f>
        <v>Setor Jurídico e Recursos Humanos</v>
      </c>
      <c r="C252" s="1372">
        <f>'PAR. 7'!C23</f>
        <v>15.92</v>
      </c>
      <c r="F252" s="892"/>
      <c r="G252" s="892"/>
    </row>
    <row r="253" spans="1:11" x14ac:dyDescent="0.2">
      <c r="A253" s="873"/>
      <c r="B253" s="1372" t="str">
        <f>'PAR. 7'!B24</f>
        <v>Arquivo</v>
      </c>
      <c r="C253" s="1372">
        <f>'PAR. 7'!C24</f>
        <v>2.4500000000000002</v>
      </c>
      <c r="F253" s="892"/>
      <c r="G253" s="892"/>
    </row>
    <row r="254" spans="1:11" x14ac:dyDescent="0.2">
      <c r="A254" s="873"/>
      <c r="B254" s="1372" t="str">
        <f>'PAR. 7'!B30</f>
        <v>Hall</v>
      </c>
      <c r="C254" s="1372">
        <f>'PAR. 7'!C30</f>
        <v>2.5</v>
      </c>
      <c r="F254" s="892"/>
      <c r="G254" s="892"/>
    </row>
    <row r="255" spans="1:11" x14ac:dyDescent="0.2">
      <c r="A255" s="873"/>
      <c r="B255" s="1372" t="str">
        <f>'PAR. 7'!B32</f>
        <v>Junta Militar</v>
      </c>
      <c r="C255" s="1372">
        <f>'PAR. 7'!C32</f>
        <v>8.43</v>
      </c>
      <c r="F255" s="892"/>
      <c r="G255" s="892"/>
    </row>
    <row r="256" spans="1:11" x14ac:dyDescent="0.2">
      <c r="A256" s="873"/>
      <c r="B256" s="1372" t="str">
        <f>'PAR. 7'!B33</f>
        <v>Recepção 01</v>
      </c>
      <c r="C256" s="1372">
        <f>'PAR. 7'!C33</f>
        <v>13.7</v>
      </c>
      <c r="F256" s="892"/>
      <c r="G256" s="892"/>
    </row>
    <row r="257" spans="1:7" ht="25.5" x14ac:dyDescent="0.2">
      <c r="A257" s="873"/>
      <c r="B257" s="1372" t="str">
        <f>'PAR. 7'!B35</f>
        <v>Secretaria de Finanças e Sala de Contabilidade</v>
      </c>
      <c r="C257" s="1372">
        <f>'PAR. 7'!C35</f>
        <v>7.1499999999999995</v>
      </c>
      <c r="F257" s="892"/>
      <c r="G257" s="892"/>
    </row>
    <row r="258" spans="1:7" x14ac:dyDescent="0.2">
      <c r="A258" s="873"/>
      <c r="B258" s="1372" t="str">
        <f>'PAR. 7'!B36</f>
        <v>Controle Interno</v>
      </c>
      <c r="C258" s="1372">
        <f>'PAR. 7'!C36</f>
        <v>3.56</v>
      </c>
      <c r="F258" s="892"/>
      <c r="G258" s="892"/>
    </row>
    <row r="259" spans="1:7" ht="38.25" x14ac:dyDescent="0.2">
      <c r="A259" s="1320"/>
      <c r="B259" s="1372" t="str">
        <f>'PAR. 7'!B37</f>
        <v>Sala de Operação / Licitação - Setor de Convênios</v>
      </c>
      <c r="C259" s="1372">
        <f>'PAR. 7'!C37</f>
        <v>3.44</v>
      </c>
      <c r="F259" s="892"/>
      <c r="G259" s="892"/>
    </row>
    <row r="260" spans="1:7" x14ac:dyDescent="0.2">
      <c r="A260" s="1320"/>
      <c r="B260" s="1372" t="str">
        <f>'PAR. 7'!B38</f>
        <v>Vice-Prefeito</v>
      </c>
      <c r="C260" s="1372">
        <f>'PAR. 7'!C38</f>
        <v>3.6</v>
      </c>
      <c r="F260" s="892"/>
      <c r="G260" s="892"/>
    </row>
    <row r="261" spans="1:7" x14ac:dyDescent="0.2">
      <c r="A261" s="1320"/>
      <c r="B261" s="1372" t="str">
        <f>'PAR. 7'!B39</f>
        <v>Chefe de Gabinete</v>
      </c>
      <c r="C261" s="1372">
        <f>'PAR. 7'!C39</f>
        <v>4.5999999999999996</v>
      </c>
      <c r="F261" s="892"/>
      <c r="G261" s="892"/>
    </row>
    <row r="262" spans="1:7" x14ac:dyDescent="0.2">
      <c r="A262" s="1320"/>
      <c r="B262" s="1372" t="str">
        <f>'PAR. 7'!B40</f>
        <v>Sala de Comunicação</v>
      </c>
      <c r="C262" s="1372">
        <f>'PAR. 7'!C40</f>
        <v>12.549999999999999</v>
      </c>
      <c r="F262" s="892"/>
      <c r="G262" s="892"/>
    </row>
    <row r="263" spans="1:7" x14ac:dyDescent="0.2">
      <c r="A263" s="1320"/>
      <c r="B263" s="1372" t="str">
        <f>'PAR. 7'!B41</f>
        <v>Gabinete Prefeita</v>
      </c>
      <c r="C263" s="1372">
        <f>'PAR. 7'!C41</f>
        <v>11.5</v>
      </c>
      <c r="F263" s="892"/>
      <c r="G263" s="892"/>
    </row>
    <row r="264" spans="1:7" ht="25.5" x14ac:dyDescent="0.2">
      <c r="A264" s="1320"/>
      <c r="B264" s="1372" t="str">
        <f>'PAR. 7'!B45</f>
        <v>Sala de Reunião e Auditório</v>
      </c>
      <c r="C264" s="1372">
        <f>'PAR. 7'!C45</f>
        <v>10.8</v>
      </c>
      <c r="F264" s="892"/>
      <c r="G264" s="892"/>
    </row>
    <row r="265" spans="1:7" x14ac:dyDescent="0.2">
      <c r="A265" s="1320"/>
      <c r="B265" s="1372" t="str">
        <f>'PAR. 7'!B46</f>
        <v>Compras e Circulação</v>
      </c>
      <c r="C265" s="1372">
        <f>'PAR. 7'!C46</f>
        <v>8.9</v>
      </c>
      <c r="F265" s="892"/>
      <c r="G265" s="892"/>
    </row>
    <row r="266" spans="1:7" x14ac:dyDescent="0.2">
      <c r="A266" s="1320"/>
      <c r="B266" s="1372" t="str">
        <f>'PAR. 7'!B47</f>
        <v>Almoxarifado Compras</v>
      </c>
      <c r="C266" s="1372">
        <f>'PAR. 7'!C47</f>
        <v>7.35</v>
      </c>
      <c r="F266" s="892"/>
      <c r="G266" s="892"/>
    </row>
    <row r="267" spans="1:7" x14ac:dyDescent="0.2">
      <c r="A267" s="1320"/>
      <c r="B267" s="1372" t="str">
        <f>'PAR. 7'!B48</f>
        <v>T.I.</v>
      </c>
      <c r="C267" s="1372">
        <f>'PAR. 7'!C48</f>
        <v>2.35</v>
      </c>
      <c r="F267" s="892"/>
      <c r="G267" s="892"/>
    </row>
    <row r="268" spans="1:7" x14ac:dyDescent="0.2">
      <c r="A268" s="1320"/>
      <c r="B268" s="1372" t="str">
        <f>'PAR. 7'!B49</f>
        <v>Patamar Escada</v>
      </c>
      <c r="C268" s="1372">
        <f>'PAR. 7'!C49</f>
        <v>4.0999999999999996</v>
      </c>
      <c r="F268" s="892"/>
      <c r="G268" s="892"/>
    </row>
    <row r="269" spans="1:7" ht="25.5" x14ac:dyDescent="0.2">
      <c r="A269" s="1320"/>
      <c r="B269" s="1372" t="str">
        <f>'PAR. 7'!B50</f>
        <v>Acesso (Rua Olavo Bilac)</v>
      </c>
      <c r="C269" s="1372">
        <f>'PAR. 7'!C50</f>
        <v>9.7800000000000011</v>
      </c>
      <c r="F269" s="892"/>
      <c r="G269" s="892"/>
    </row>
    <row r="270" spans="1:7" x14ac:dyDescent="0.2">
      <c r="A270" s="1320"/>
      <c r="B270" s="1372" t="str">
        <f>'PAR. 7'!B51</f>
        <v>Mureta (fachada rua 12)</v>
      </c>
      <c r="C270" s="1372">
        <f>'PAR. 7'!C51</f>
        <v>26.43</v>
      </c>
      <c r="F270" s="892"/>
      <c r="G270" s="892"/>
    </row>
    <row r="271" spans="1:7" ht="25.5" x14ac:dyDescent="0.2">
      <c r="A271" s="1320"/>
      <c r="B271" s="1372" t="str">
        <f>'PAR. 7'!B52</f>
        <v>Mureta (fachada Rua Olavo Bilac)</v>
      </c>
      <c r="C271" s="1372">
        <f>'PAR. 7'!C52</f>
        <v>23.119999999999997</v>
      </c>
      <c r="F271" s="892"/>
      <c r="G271" s="892"/>
    </row>
    <row r="272" spans="1:7" x14ac:dyDescent="0.2">
      <c r="A272" s="1320"/>
      <c r="B272" s="1372" t="str">
        <f>'PAR. 7'!B53</f>
        <v>Guarda Corpo 1</v>
      </c>
      <c r="C272" s="1372">
        <f>'PAR. 7'!C53</f>
        <v>14.750000000000002</v>
      </c>
      <c r="F272" s="892"/>
      <c r="G272" s="892"/>
    </row>
    <row r="273" spans="1:11" x14ac:dyDescent="0.2">
      <c r="A273" s="1320"/>
      <c r="B273" s="1372" t="str">
        <f>'PAR. 7'!B54</f>
        <v>Guarda Corpo 2</v>
      </c>
      <c r="C273" s="1372">
        <f>'PAR. 7'!C54</f>
        <v>11.6</v>
      </c>
      <c r="F273" s="892"/>
      <c r="G273" s="892"/>
    </row>
    <row r="274" spans="1:11" x14ac:dyDescent="0.2">
      <c r="A274" s="1320"/>
      <c r="B274" s="1372" t="str">
        <f>'PAR. 7'!B55</f>
        <v>Guarda Corpo 3</v>
      </c>
      <c r="C274" s="1372">
        <f>'PAR. 7'!C55</f>
        <v>15</v>
      </c>
      <c r="F274" s="892"/>
      <c r="G274" s="892"/>
    </row>
    <row r="275" spans="1:11" x14ac:dyDescent="0.2">
      <c r="A275" s="1320"/>
      <c r="F275" s="892"/>
      <c r="G275" s="892"/>
    </row>
    <row r="276" spans="1:11" x14ac:dyDescent="0.2">
      <c r="A276" s="873"/>
      <c r="B276" s="1373" t="s">
        <v>1393</v>
      </c>
      <c r="C276" s="1374">
        <f>SUM(C249:C274)</f>
        <v>253.88</v>
      </c>
      <c r="F276" s="892"/>
      <c r="G276" s="892"/>
    </row>
    <row r="277" spans="1:11" x14ac:dyDescent="0.2">
      <c r="A277" s="873"/>
      <c r="B277" s="874"/>
      <c r="C277" s="805"/>
      <c r="F277" s="892"/>
      <c r="G277" s="892"/>
    </row>
    <row r="278" spans="1:11" x14ac:dyDescent="0.2">
      <c r="A278" s="873"/>
      <c r="B278" s="874"/>
      <c r="C278" s="805"/>
      <c r="F278" s="892"/>
      <c r="G278" s="892"/>
    </row>
    <row r="279" spans="1:11" x14ac:dyDescent="0.2">
      <c r="A279" s="873"/>
      <c r="B279" s="874"/>
      <c r="C279" s="805"/>
      <c r="F279" s="892"/>
      <c r="G279" s="892"/>
    </row>
    <row r="280" spans="1:11" ht="30" x14ac:dyDescent="0.2">
      <c r="A280" s="873"/>
      <c r="B280" s="1368"/>
      <c r="C280" s="1369" t="s">
        <v>1371</v>
      </c>
      <c r="D280" s="1368"/>
      <c r="E280" s="1368" t="s">
        <v>794</v>
      </c>
      <c r="F280" s="1368"/>
      <c r="G280" s="1368" t="s">
        <v>255</v>
      </c>
    </row>
    <row r="281" spans="1:11" ht="15" x14ac:dyDescent="0.2">
      <c r="A281" s="873"/>
      <c r="B281" s="1368" t="s">
        <v>793</v>
      </c>
      <c r="C281" s="1370">
        <f>C276</f>
        <v>253.88</v>
      </c>
      <c r="D281" s="1368" t="s">
        <v>79</v>
      </c>
      <c r="E281" s="1371">
        <f>ROUND((('PAR. 7'!I104-'PAR. 7'!J101-'PAR. 7'!J100)/2.1),2)</f>
        <v>15.84</v>
      </c>
      <c r="F281" s="1368" t="s">
        <v>72</v>
      </c>
      <c r="G281" s="1370">
        <f>ROUND(C281-E281,2)</f>
        <v>238.04</v>
      </c>
    </row>
    <row r="282" spans="1:11" x14ac:dyDescent="0.2">
      <c r="A282" s="873"/>
    </row>
    <row r="284" spans="1:11" x14ac:dyDescent="0.2">
      <c r="A284" s="877" t="str">
        <f>ORÇ!A81</f>
        <v>6.13</v>
      </c>
      <c r="B284" s="1874" t="str">
        <f>ORÇ!D81</f>
        <v>Rodapé em poliestireno de 9cm</v>
      </c>
      <c r="C284" s="1874"/>
      <c r="D284" s="1874"/>
      <c r="E284" s="1874"/>
      <c r="F284" s="1874"/>
      <c r="G284" s="1874"/>
      <c r="H284" s="1874"/>
      <c r="I284" s="1874"/>
      <c r="J284" s="1874"/>
      <c r="K284" s="1874"/>
    </row>
    <row r="286" spans="1:11" x14ac:dyDescent="0.2">
      <c r="B286" s="1905" t="s">
        <v>304</v>
      </c>
      <c r="C286" s="1905"/>
      <c r="F286" s="1905"/>
      <c r="G286" s="1905"/>
    </row>
    <row r="287" spans="1:11" x14ac:dyDescent="0.2">
      <c r="B287" s="872" t="s">
        <v>290</v>
      </c>
      <c r="C287" s="872" t="s">
        <v>87</v>
      </c>
      <c r="F287" s="872"/>
      <c r="G287" s="872"/>
    </row>
    <row r="288" spans="1:11" x14ac:dyDescent="0.2">
      <c r="B288" s="495" t="str">
        <f>'PAR. 7'!B137</f>
        <v>Refeitório</v>
      </c>
      <c r="C288" s="495">
        <f>'PAR. 7'!C137*2</f>
        <v>10.3</v>
      </c>
      <c r="F288" s="891"/>
      <c r="G288" s="339"/>
    </row>
    <row r="289" spans="2:8" ht="13.5" thickBot="1" x14ac:dyDescent="0.25">
      <c r="B289" s="339"/>
      <c r="F289" s="891"/>
      <c r="G289" s="339"/>
    </row>
    <row r="290" spans="2:8" ht="13.5" thickBot="1" x14ac:dyDescent="0.25">
      <c r="B290" s="1366" t="s">
        <v>1392</v>
      </c>
      <c r="C290" s="818">
        <f>SUM(C288:C288)</f>
        <v>10.3</v>
      </c>
      <c r="D290" s="1367" t="s">
        <v>17</v>
      </c>
      <c r="F290" s="891"/>
      <c r="G290" s="339"/>
    </row>
    <row r="291" spans="2:8" x14ac:dyDescent="0.2">
      <c r="B291" s="5"/>
      <c r="C291" s="585"/>
      <c r="D291" s="585"/>
      <c r="F291" s="891"/>
      <c r="G291" s="339"/>
    </row>
    <row r="292" spans="2:8" x14ac:dyDescent="0.2">
      <c r="F292" s="891"/>
      <c r="G292" s="339"/>
    </row>
    <row r="293" spans="2:8" x14ac:dyDescent="0.2">
      <c r="F293" s="891"/>
      <c r="G293" s="339"/>
    </row>
    <row r="294" spans="2:8" x14ac:dyDescent="0.2">
      <c r="F294" s="891"/>
      <c r="G294" s="339"/>
    </row>
    <row r="295" spans="2:8" x14ac:dyDescent="0.2">
      <c r="F295" s="339"/>
    </row>
    <row r="296" spans="2:8" x14ac:dyDescent="0.2">
      <c r="F296" s="496"/>
      <c r="G296" s="495"/>
    </row>
    <row r="301" spans="2:8" x14ac:dyDescent="0.2">
      <c r="H301" s="662"/>
    </row>
    <row r="302" spans="2:8" x14ac:dyDescent="0.2">
      <c r="H302" s="662"/>
    </row>
  </sheetData>
  <mergeCells count="164">
    <mergeCell ref="B88:K88"/>
    <mergeCell ref="B90:C90"/>
    <mergeCell ref="B163:K163"/>
    <mergeCell ref="B144:C144"/>
    <mergeCell ref="B147:K147"/>
    <mergeCell ref="B108:K108"/>
    <mergeCell ref="B111:B112"/>
    <mergeCell ref="B130:B131"/>
    <mergeCell ref="B42:D42"/>
    <mergeCell ref="B113:B117"/>
    <mergeCell ref="B118:B119"/>
    <mergeCell ref="B44:D44"/>
    <mergeCell ref="G44:I44"/>
    <mergeCell ref="B45:D45"/>
    <mergeCell ref="G45:I45"/>
    <mergeCell ref="B46:D46"/>
    <mergeCell ref="G46:I46"/>
    <mergeCell ref="G64:I64"/>
    <mergeCell ref="B64:D64"/>
    <mergeCell ref="G62:I62"/>
    <mergeCell ref="B65:D65"/>
    <mergeCell ref="G63:I63"/>
    <mergeCell ref="B66:D66"/>
    <mergeCell ref="B61:D61"/>
    <mergeCell ref="A9:K9"/>
    <mergeCell ref="A10:K10"/>
    <mergeCell ref="A11:K11"/>
    <mergeCell ref="A6:A7"/>
    <mergeCell ref="B6:D7"/>
    <mergeCell ref="E7:F7"/>
    <mergeCell ref="G7:K7"/>
    <mergeCell ref="B14:K14"/>
    <mergeCell ref="B16:D16"/>
    <mergeCell ref="G16:I16"/>
    <mergeCell ref="A1:K1"/>
    <mergeCell ref="B2:F2"/>
    <mergeCell ref="G2:H2"/>
    <mergeCell ref="I2:K2"/>
    <mergeCell ref="B3:K3"/>
    <mergeCell ref="B4:K4"/>
    <mergeCell ref="B5:D5"/>
    <mergeCell ref="E5:F6"/>
    <mergeCell ref="G5:K6"/>
    <mergeCell ref="B221:K221"/>
    <mergeCell ref="B226:K226"/>
    <mergeCell ref="A223:E223"/>
    <mergeCell ref="B198:E198"/>
    <mergeCell ref="B208:D208"/>
    <mergeCell ref="B213:D213"/>
    <mergeCell ref="B203:C203"/>
    <mergeCell ref="B172:K172"/>
    <mergeCell ref="B175:C175"/>
    <mergeCell ref="B179:C179"/>
    <mergeCell ref="B184:D184"/>
    <mergeCell ref="B189:E189"/>
    <mergeCell ref="B194:E194"/>
    <mergeCell ref="A228:E228"/>
    <mergeCell ref="B231:K231"/>
    <mergeCell ref="F286:G286"/>
    <mergeCell ref="B238:K238"/>
    <mergeCell ref="B246:K246"/>
    <mergeCell ref="B284:K284"/>
    <mergeCell ref="B286:C286"/>
    <mergeCell ref="B20:D20"/>
    <mergeCell ref="G20:I20"/>
    <mergeCell ref="B21:D21"/>
    <mergeCell ref="G21:I21"/>
    <mergeCell ref="B22:D22"/>
    <mergeCell ref="G22:I22"/>
    <mergeCell ref="B28:D28"/>
    <mergeCell ref="G28:I28"/>
    <mergeCell ref="B32:D32"/>
    <mergeCell ref="G32:I32"/>
    <mergeCell ref="B33:D33"/>
    <mergeCell ref="G33:I33"/>
    <mergeCell ref="B34:D34"/>
    <mergeCell ref="G34:I34"/>
    <mergeCell ref="B29:D29"/>
    <mergeCell ref="G29:I29"/>
    <mergeCell ref="B30:D30"/>
    <mergeCell ref="B17:D17"/>
    <mergeCell ref="G17:I17"/>
    <mergeCell ref="B18:D18"/>
    <mergeCell ref="G18:I18"/>
    <mergeCell ref="B19:D19"/>
    <mergeCell ref="G19:I19"/>
    <mergeCell ref="B26:D26"/>
    <mergeCell ref="G26:I26"/>
    <mergeCell ref="B27:D27"/>
    <mergeCell ref="G27:I27"/>
    <mergeCell ref="B23:D23"/>
    <mergeCell ref="G23:I23"/>
    <mergeCell ref="B24:D24"/>
    <mergeCell ref="G24:I24"/>
    <mergeCell ref="B25:D25"/>
    <mergeCell ref="G25:I25"/>
    <mergeCell ref="G30:I30"/>
    <mergeCell ref="B31:D31"/>
    <mergeCell ref="G31:I31"/>
    <mergeCell ref="B38:D38"/>
    <mergeCell ref="G38:I38"/>
    <mergeCell ref="B39:D39"/>
    <mergeCell ref="G39:I39"/>
    <mergeCell ref="B40:D40"/>
    <mergeCell ref="G40:I40"/>
    <mergeCell ref="B35:D35"/>
    <mergeCell ref="G35:I35"/>
    <mergeCell ref="B36:D36"/>
    <mergeCell ref="G36:I36"/>
    <mergeCell ref="B37:D37"/>
    <mergeCell ref="G37:I37"/>
    <mergeCell ref="B41:D41"/>
    <mergeCell ref="G41:I41"/>
    <mergeCell ref="G42:I42"/>
    <mergeCell ref="B43:D43"/>
    <mergeCell ref="G43:I43"/>
    <mergeCell ref="B58:D58"/>
    <mergeCell ref="G58:I58"/>
    <mergeCell ref="B59:D59"/>
    <mergeCell ref="B60:D60"/>
    <mergeCell ref="B47:D47"/>
    <mergeCell ref="G47:I47"/>
    <mergeCell ref="B56:D56"/>
    <mergeCell ref="G56:I56"/>
    <mergeCell ref="B57:D57"/>
    <mergeCell ref="G57:I57"/>
    <mergeCell ref="B54:K54"/>
    <mergeCell ref="B63:D63"/>
    <mergeCell ref="G68:I68"/>
    <mergeCell ref="B75:D75"/>
    <mergeCell ref="G69:I69"/>
    <mergeCell ref="B70:D70"/>
    <mergeCell ref="B71:D71"/>
    <mergeCell ref="G65:I65"/>
    <mergeCell ref="B72:D72"/>
    <mergeCell ref="G66:I66"/>
    <mergeCell ref="B67:D67"/>
    <mergeCell ref="B68:D68"/>
    <mergeCell ref="B69:D69"/>
    <mergeCell ref="G75:I75"/>
    <mergeCell ref="G61:I61"/>
    <mergeCell ref="G60:I60"/>
    <mergeCell ref="G59:I59"/>
    <mergeCell ref="B81:D81"/>
    <mergeCell ref="G81:I81"/>
    <mergeCell ref="G76:I76"/>
    <mergeCell ref="G77:I77"/>
    <mergeCell ref="G78:I78"/>
    <mergeCell ref="G79:I79"/>
    <mergeCell ref="G80:I80"/>
    <mergeCell ref="B79:D79"/>
    <mergeCell ref="G73:I73"/>
    <mergeCell ref="B80:D80"/>
    <mergeCell ref="G74:I74"/>
    <mergeCell ref="B76:D76"/>
    <mergeCell ref="G70:I70"/>
    <mergeCell ref="B77:D77"/>
    <mergeCell ref="G71:I71"/>
    <mergeCell ref="B78:D78"/>
    <mergeCell ref="G72:I72"/>
    <mergeCell ref="B73:D73"/>
    <mergeCell ref="G67:I67"/>
    <mergeCell ref="B74:D74"/>
    <mergeCell ref="B62:D62"/>
  </mergeCells>
  <pageMargins left="0.511811024" right="0.511811024" top="0.78740157499999996" bottom="0.78740157499999996" header="0.31496062000000002" footer="0.31496062000000002"/>
  <pageSetup paperSize="9" scale="61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6"/>
  <sheetViews>
    <sheetView view="pageBreakPreview" zoomScale="85" zoomScaleNormal="100" zoomScaleSheetLayoutView="85" workbookViewId="0">
      <selection activeCell="I21" sqref="I21"/>
    </sheetView>
  </sheetViews>
  <sheetFormatPr defaultRowHeight="12.75" x14ac:dyDescent="0.2"/>
  <cols>
    <col min="1" max="1" width="14.140625" customWidth="1"/>
    <col min="2" max="2" width="15.42578125" customWidth="1"/>
    <col min="3" max="3" width="11.140625" customWidth="1"/>
    <col min="4" max="4" width="13.140625" customWidth="1"/>
    <col min="5" max="6" width="10" customWidth="1"/>
    <col min="7" max="7" width="12.28515625" customWidth="1"/>
    <col min="8" max="8" width="10.85546875" customWidth="1"/>
    <col min="9" max="9" width="10.85546875" bestFit="1" customWidth="1"/>
    <col min="10" max="10" width="9.28515625" customWidth="1"/>
    <col min="11" max="11" width="18" customWidth="1"/>
  </cols>
  <sheetData>
    <row r="1" spans="1:11" ht="65.2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1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1" ht="15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1" ht="15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1" ht="15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1" x14ac:dyDescent="0.2">
      <c r="A6" s="1694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1" ht="15" x14ac:dyDescent="0.2">
      <c r="A7" s="1695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1" ht="13.5" thickBot="1" x14ac:dyDescent="0.25">
      <c r="A8" s="21"/>
      <c r="B8" s="22"/>
      <c r="C8" s="22"/>
      <c r="D8" s="22"/>
      <c r="E8" s="22"/>
      <c r="F8" s="22"/>
      <c r="G8" s="22"/>
      <c r="H8" s="22"/>
      <c r="I8" s="22"/>
      <c r="J8" s="22"/>
    </row>
    <row r="9" spans="1:11" ht="13.5" thickBot="1" x14ac:dyDescent="0.25">
      <c r="A9" s="1865" t="s">
        <v>88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1" ht="13.5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11" ht="13.5" thickBot="1" x14ac:dyDescent="0.25">
      <c r="A11" s="1865" t="str">
        <f>ORÇ!D84</f>
        <v>Paredes e Divisórias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11" x14ac:dyDescent="0.2">
      <c r="A12" s="21"/>
      <c r="B12" s="22"/>
      <c r="C12" s="22"/>
      <c r="D12" s="22"/>
      <c r="E12" s="22"/>
      <c r="F12" s="22"/>
      <c r="G12" s="22"/>
      <c r="H12" s="22"/>
      <c r="I12" s="22"/>
      <c r="J12" s="22"/>
    </row>
    <row r="13" spans="1:11" x14ac:dyDescent="0.2">
      <c r="A13" s="487">
        <f>ORÇ!A84</f>
        <v>7</v>
      </c>
      <c r="B13" s="46" t="str">
        <f>ORÇ!D84</f>
        <v>Paredes e Divisórias</v>
      </c>
      <c r="C13" s="24"/>
      <c r="D13" s="24"/>
      <c r="E13" s="24"/>
      <c r="F13" s="24"/>
      <c r="G13" s="24"/>
      <c r="H13" s="24"/>
      <c r="I13" s="24"/>
      <c r="J13" s="24"/>
    </row>
    <row r="14" spans="1:11" x14ac:dyDescent="0.2">
      <c r="A14" s="684"/>
      <c r="B14" s="251"/>
      <c r="C14" s="251"/>
      <c r="D14" s="251"/>
      <c r="E14" s="251"/>
      <c r="F14" s="251"/>
      <c r="G14" s="251"/>
      <c r="H14" s="251"/>
      <c r="I14" s="251"/>
      <c r="J14" s="251"/>
      <c r="K14" s="251"/>
    </row>
    <row r="15" spans="1:11" x14ac:dyDescent="0.2">
      <c r="A15" s="1205" t="str">
        <f>ORÇ!A86</f>
        <v>7.1.1</v>
      </c>
      <c r="B15" s="1887" t="str">
        <f>ORÇ!D86</f>
        <v>ALVENARIA DE VEDAÇÃO DE BLOCOS CERÂMICOS FURADOS NA HORIZONTAL DE 9X19X29 CM (ESPESSURA 9 CM) E ARGAMASSA DE ASSENTAMENTO COM PREPARO EM BETONEIRA. AF_12/2021</v>
      </c>
      <c r="C15" s="1887"/>
      <c r="D15" s="1887"/>
      <c r="E15" s="1887"/>
      <c r="F15" s="1887"/>
      <c r="G15" s="1887"/>
      <c r="H15" s="1887"/>
      <c r="I15" s="1887"/>
      <c r="J15" s="1887"/>
      <c r="K15" s="1887"/>
    </row>
    <row r="16" spans="1:11" x14ac:dyDescent="0.2">
      <c r="A16" s="345"/>
      <c r="B16" s="437"/>
      <c r="C16" s="437"/>
      <c r="D16" s="437"/>
      <c r="E16" s="437"/>
      <c r="F16" s="437"/>
      <c r="G16" s="437"/>
      <c r="H16" s="437"/>
      <c r="I16" s="437"/>
      <c r="J16" s="437"/>
      <c r="K16" s="437"/>
    </row>
    <row r="17" spans="1:11" x14ac:dyDescent="0.2">
      <c r="A17" s="345"/>
      <c r="B17" s="1930" t="s">
        <v>304</v>
      </c>
      <c r="C17" s="1930"/>
      <c r="D17" s="437"/>
      <c r="E17" s="437"/>
      <c r="F17" s="437"/>
      <c r="G17" s="437"/>
      <c r="H17" s="437"/>
      <c r="I17" s="437"/>
      <c r="J17" s="437"/>
      <c r="K17" s="437"/>
    </row>
    <row r="18" spans="1:11" x14ac:dyDescent="0.2">
      <c r="A18" s="345"/>
      <c r="B18" s="1312" t="s">
        <v>290</v>
      </c>
      <c r="C18" s="1312" t="s">
        <v>87</v>
      </c>
      <c r="D18" s="1325"/>
      <c r="E18" s="1312" t="s">
        <v>291</v>
      </c>
      <c r="F18" s="1325"/>
      <c r="G18" s="1312" t="s">
        <v>263</v>
      </c>
    </row>
    <row r="19" spans="1:11" x14ac:dyDescent="0.2">
      <c r="A19" s="638"/>
      <c r="B19" s="1934" t="s">
        <v>1342</v>
      </c>
      <c r="C19" s="1312">
        <f>2.9+2.2+4.85+4.85</f>
        <v>14.799999999999999</v>
      </c>
      <c r="D19" s="1312" t="s">
        <v>71</v>
      </c>
      <c r="E19" s="1312">
        <f>6.4+0.1</f>
        <v>6.5</v>
      </c>
      <c r="F19" s="1312" t="s">
        <v>72</v>
      </c>
      <c r="G19" s="1312">
        <f>ROUND(C19*E19,2)</f>
        <v>96.2</v>
      </c>
    </row>
    <row r="20" spans="1:11" x14ac:dyDescent="0.2">
      <c r="A20" s="1321"/>
      <c r="B20" s="1935"/>
      <c r="C20" s="1312">
        <f>10+5.25</f>
        <v>15.25</v>
      </c>
      <c r="D20" s="1312" t="s">
        <v>71</v>
      </c>
      <c r="E20" s="1312">
        <v>2.9</v>
      </c>
      <c r="F20" s="1312" t="s">
        <v>72</v>
      </c>
      <c r="G20" s="1312">
        <f>ROUND(C20*E20,2)</f>
        <v>44.23</v>
      </c>
    </row>
    <row r="21" spans="1:11" ht="38.25" x14ac:dyDescent="0.2">
      <c r="A21" s="638"/>
      <c r="B21" s="1312" t="s">
        <v>1374</v>
      </c>
      <c r="C21" s="1312">
        <f>4.9+1.2+2.97</f>
        <v>9.07</v>
      </c>
      <c r="D21" s="1312" t="s">
        <v>71</v>
      </c>
      <c r="E21" s="1312">
        <v>2.8</v>
      </c>
      <c r="F21" s="1312" t="s">
        <v>72</v>
      </c>
      <c r="G21" s="1312">
        <f>ROUND(C21*E21,2)</f>
        <v>25.4</v>
      </c>
    </row>
    <row r="22" spans="1:11" ht="25.5" x14ac:dyDescent="0.2">
      <c r="A22" s="638"/>
      <c r="B22" s="1312" t="s">
        <v>1346</v>
      </c>
      <c r="C22" s="1312">
        <f>4.08+2.35</f>
        <v>6.43</v>
      </c>
      <c r="D22" s="1312" t="s">
        <v>71</v>
      </c>
      <c r="E22" s="1312">
        <f>E21</f>
        <v>2.8</v>
      </c>
      <c r="F22" s="1312" t="s">
        <v>72</v>
      </c>
      <c r="G22" s="1312">
        <f>ROUND(C22*E22,2)</f>
        <v>18</v>
      </c>
    </row>
    <row r="23" spans="1:11" ht="38.25" x14ac:dyDescent="0.2">
      <c r="A23" s="638"/>
      <c r="B23" s="1312" t="s">
        <v>1375</v>
      </c>
      <c r="C23" s="1312">
        <f>4.8+3.52+3.78+3.82</f>
        <v>15.92</v>
      </c>
      <c r="D23" s="1312" t="s">
        <v>71</v>
      </c>
      <c r="E23" s="1312">
        <v>2.8</v>
      </c>
      <c r="F23" s="1312" t="s">
        <v>72</v>
      </c>
      <c r="G23" s="1312">
        <f t="shared" ref="G23:G31" si="0">ROUND(C23*E23,2)</f>
        <v>44.58</v>
      </c>
    </row>
    <row r="24" spans="1:11" x14ac:dyDescent="0.2">
      <c r="A24" s="638"/>
      <c r="B24" s="1312" t="s">
        <v>321</v>
      </c>
      <c r="C24" s="1312">
        <v>2.4500000000000002</v>
      </c>
      <c r="D24" s="1312" t="s">
        <v>71</v>
      </c>
      <c r="E24" s="1312">
        <v>2.8</v>
      </c>
      <c r="F24" s="1312" t="s">
        <v>72</v>
      </c>
      <c r="G24" s="1312">
        <f t="shared" si="0"/>
        <v>6.86</v>
      </c>
    </row>
    <row r="25" spans="1:11" x14ac:dyDescent="0.2">
      <c r="A25" s="970"/>
      <c r="B25" s="1939" t="s">
        <v>299</v>
      </c>
      <c r="C25" s="1312">
        <f>3+3.15+5</f>
        <v>11.15</v>
      </c>
      <c r="D25" s="1312" t="s">
        <v>71</v>
      </c>
      <c r="E25" s="1312">
        <v>2.8</v>
      </c>
      <c r="F25" s="1312" t="s">
        <v>72</v>
      </c>
      <c r="G25" s="1312">
        <f t="shared" ref="G25" si="1">ROUND(C25*E25,2)</f>
        <v>31.22</v>
      </c>
    </row>
    <row r="26" spans="1:11" x14ac:dyDescent="0.2">
      <c r="A26" s="638"/>
      <c r="B26" s="1939"/>
      <c r="C26" s="1312">
        <v>5.15</v>
      </c>
      <c r="D26" s="1312" t="s">
        <v>71</v>
      </c>
      <c r="E26" s="1312">
        <v>1.5</v>
      </c>
      <c r="F26" s="1312" t="s">
        <v>72</v>
      </c>
      <c r="G26" s="1312">
        <f t="shared" si="0"/>
        <v>7.73</v>
      </c>
      <c r="H26" t="s">
        <v>1376</v>
      </c>
    </row>
    <row r="27" spans="1:11" ht="25.5" x14ac:dyDescent="0.2">
      <c r="A27" s="638"/>
      <c r="B27" s="1312" t="s">
        <v>1377</v>
      </c>
      <c r="C27" s="1312">
        <f>5.45+3.5+3.5</f>
        <v>12.45</v>
      </c>
      <c r="D27" s="1312" t="s">
        <v>71</v>
      </c>
      <c r="E27" s="1312">
        <v>2.8</v>
      </c>
      <c r="F27" s="1312" t="s">
        <v>72</v>
      </c>
      <c r="G27" s="1312">
        <f t="shared" si="0"/>
        <v>34.86</v>
      </c>
    </row>
    <row r="28" spans="1:11" x14ac:dyDescent="0.2">
      <c r="A28" s="970"/>
      <c r="B28" s="1312" t="s">
        <v>300</v>
      </c>
      <c r="C28" s="1312">
        <f>6+3.5+1.35+3.65+3.77+3.25</f>
        <v>21.52</v>
      </c>
      <c r="D28" s="1312" t="s">
        <v>71</v>
      </c>
      <c r="E28" s="1312">
        <v>2.8</v>
      </c>
      <c r="F28" s="1312" t="s">
        <v>72</v>
      </c>
      <c r="G28" s="1312">
        <f t="shared" si="0"/>
        <v>60.26</v>
      </c>
    </row>
    <row r="29" spans="1:11" ht="25.5" x14ac:dyDescent="0.2">
      <c r="A29" s="638"/>
      <c r="B29" s="1312" t="s">
        <v>1378</v>
      </c>
      <c r="C29" s="1312">
        <f>4.7+3.65+3.77+2+5+1.67+3.77+4.85</f>
        <v>29.409999999999997</v>
      </c>
      <c r="D29" s="1312" t="s">
        <v>71</v>
      </c>
      <c r="E29" s="1312">
        <v>2.8</v>
      </c>
      <c r="F29" s="1312" t="s">
        <v>72</v>
      </c>
      <c r="G29" s="1312">
        <f t="shared" si="0"/>
        <v>82.35</v>
      </c>
    </row>
    <row r="30" spans="1:11" x14ac:dyDescent="0.2">
      <c r="A30" s="638"/>
      <c r="B30" s="1312" t="s">
        <v>347</v>
      </c>
      <c r="C30" s="1312">
        <v>2.5</v>
      </c>
      <c r="D30" s="1312" t="s">
        <v>71</v>
      </c>
      <c r="E30" s="1312">
        <v>2.8</v>
      </c>
      <c r="F30" s="1312" t="s">
        <v>72</v>
      </c>
      <c r="G30" s="1312">
        <f t="shared" si="0"/>
        <v>7</v>
      </c>
    </row>
    <row r="31" spans="1:11" ht="25.5" x14ac:dyDescent="0.2">
      <c r="A31" s="638"/>
      <c r="B31" s="1312" t="s">
        <v>1379</v>
      </c>
      <c r="C31" s="1312">
        <f>4.6+2.82+2+4.3+0.82+4.52+4.03+4.52</f>
        <v>27.61</v>
      </c>
      <c r="D31" s="1312" t="s">
        <v>71</v>
      </c>
      <c r="E31" s="1312">
        <v>2.8</v>
      </c>
      <c r="F31" s="1312" t="s">
        <v>72</v>
      </c>
      <c r="G31" s="1312">
        <f t="shared" si="0"/>
        <v>77.31</v>
      </c>
    </row>
    <row r="32" spans="1:11" x14ac:dyDescent="0.2">
      <c r="A32" s="663"/>
      <c r="B32" s="1312" t="s">
        <v>303</v>
      </c>
      <c r="C32" s="1312">
        <f>4.05+4.38</f>
        <v>8.43</v>
      </c>
      <c r="D32" s="1312" t="s">
        <v>71</v>
      </c>
      <c r="E32" s="1312">
        <v>2.8</v>
      </c>
      <c r="F32" s="1312" t="s">
        <v>72</v>
      </c>
      <c r="G32" s="1312">
        <f t="shared" ref="G32:G36" si="2">ROUND(C32*E32,2)</f>
        <v>23.6</v>
      </c>
    </row>
    <row r="33" spans="1:7" x14ac:dyDescent="0.2">
      <c r="A33" s="663"/>
      <c r="B33" s="1934" t="s">
        <v>1367</v>
      </c>
      <c r="C33" s="1312">
        <f>1.3+6.4+2.95+3.05</f>
        <v>13.7</v>
      </c>
      <c r="D33" s="1312" t="s">
        <v>71</v>
      </c>
      <c r="E33" s="1312">
        <f>5.7+0.1</f>
        <v>5.8</v>
      </c>
      <c r="F33" s="1312" t="s">
        <v>72</v>
      </c>
      <c r="G33" s="1312">
        <f t="shared" si="2"/>
        <v>79.459999999999994</v>
      </c>
    </row>
    <row r="34" spans="1:7" x14ac:dyDescent="0.2">
      <c r="A34" s="1321"/>
      <c r="B34" s="1935"/>
      <c r="C34" s="1312">
        <f>9.4+10+4.5</f>
        <v>23.9</v>
      </c>
      <c r="D34" s="1312" t="s">
        <v>71</v>
      </c>
      <c r="E34" s="1312">
        <v>2.9</v>
      </c>
      <c r="F34" s="1312" t="s">
        <v>72</v>
      </c>
      <c r="G34" s="1312">
        <f t="shared" ref="G34" si="3">ROUND(C34*E34,2)</f>
        <v>69.31</v>
      </c>
    </row>
    <row r="35" spans="1:7" ht="38.25" x14ac:dyDescent="0.2">
      <c r="A35" s="663"/>
      <c r="B35" s="1312" t="s">
        <v>1380</v>
      </c>
      <c r="C35" s="1312">
        <f>1.3+5.85</f>
        <v>7.1499999999999995</v>
      </c>
      <c r="D35" s="1312" t="s">
        <v>71</v>
      </c>
      <c r="E35" s="1312">
        <v>2.8</v>
      </c>
      <c r="F35" s="1312" t="s">
        <v>72</v>
      </c>
      <c r="G35" s="1312">
        <f t="shared" si="2"/>
        <v>20.02</v>
      </c>
    </row>
    <row r="36" spans="1:7" x14ac:dyDescent="0.2">
      <c r="A36" s="663"/>
      <c r="B36" s="1312" t="s">
        <v>322</v>
      </c>
      <c r="C36" s="1312">
        <v>3.56</v>
      </c>
      <c r="D36" s="1312" t="s">
        <v>71</v>
      </c>
      <c r="E36" s="1312">
        <v>2.8</v>
      </c>
      <c r="F36" s="1312" t="s">
        <v>72</v>
      </c>
      <c r="G36" s="1312">
        <f t="shared" si="2"/>
        <v>9.9700000000000006</v>
      </c>
    </row>
    <row r="37" spans="1:7" ht="51" x14ac:dyDescent="0.2">
      <c r="A37" s="1321"/>
      <c r="B37" s="1312" t="s">
        <v>1365</v>
      </c>
      <c r="C37" s="1312">
        <v>3.44</v>
      </c>
      <c r="D37" s="1312" t="s">
        <v>71</v>
      </c>
      <c r="E37" s="1312">
        <v>2.8</v>
      </c>
      <c r="F37" s="1312" t="s">
        <v>72</v>
      </c>
      <c r="G37" s="1312">
        <f t="shared" ref="G37" si="4">ROUND(C37*E37,2)</f>
        <v>9.6300000000000008</v>
      </c>
    </row>
    <row r="38" spans="1:7" x14ac:dyDescent="0.2">
      <c r="A38" s="1321"/>
      <c r="B38" s="1312" t="s">
        <v>295</v>
      </c>
      <c r="C38" s="1312">
        <v>3.6</v>
      </c>
      <c r="D38" s="1312" t="s">
        <v>71</v>
      </c>
      <c r="E38" s="1312">
        <v>2.8</v>
      </c>
      <c r="F38" s="1312" t="s">
        <v>72</v>
      </c>
      <c r="G38" s="1312">
        <f t="shared" ref="G38:G42" si="5">ROUND(C38*E38,2)</f>
        <v>10.08</v>
      </c>
    </row>
    <row r="39" spans="1:7" ht="25.5" x14ac:dyDescent="0.2">
      <c r="A39" s="1321"/>
      <c r="B39" s="1312" t="s">
        <v>294</v>
      </c>
      <c r="C39" s="1312">
        <f>3.4+1.2</f>
        <v>4.5999999999999996</v>
      </c>
      <c r="D39" s="1312" t="s">
        <v>71</v>
      </c>
      <c r="E39" s="1312">
        <f>E38</f>
        <v>2.8</v>
      </c>
      <c r="F39" s="1312" t="s">
        <v>72</v>
      </c>
      <c r="G39" s="1312">
        <f t="shared" si="5"/>
        <v>12.88</v>
      </c>
    </row>
    <row r="40" spans="1:7" ht="25.5" x14ac:dyDescent="0.2">
      <c r="A40" s="1321"/>
      <c r="B40" s="1312" t="s">
        <v>344</v>
      </c>
      <c r="C40" s="1312">
        <f>4.93+3.77+3.85</f>
        <v>12.549999999999999</v>
      </c>
      <c r="D40" s="1312" t="s">
        <v>71</v>
      </c>
      <c r="E40" s="1312">
        <f t="shared" ref="E40:E48" si="6">E39</f>
        <v>2.8</v>
      </c>
      <c r="F40" s="1312" t="s">
        <v>72</v>
      </c>
      <c r="G40" s="1312">
        <f t="shared" si="5"/>
        <v>35.14</v>
      </c>
    </row>
    <row r="41" spans="1:7" ht="25.5" x14ac:dyDescent="0.2">
      <c r="A41" s="1321"/>
      <c r="B41" s="1312" t="s">
        <v>297</v>
      </c>
      <c r="C41" s="1312">
        <f>3.25+4.6+3.65</f>
        <v>11.5</v>
      </c>
      <c r="D41" s="1312" t="s">
        <v>71</v>
      </c>
      <c r="E41" s="1312">
        <f t="shared" si="6"/>
        <v>2.8</v>
      </c>
      <c r="F41" s="1312" t="s">
        <v>72</v>
      </c>
      <c r="G41" s="1312">
        <f t="shared" si="5"/>
        <v>32.200000000000003</v>
      </c>
    </row>
    <row r="42" spans="1:7" x14ac:dyDescent="0.2">
      <c r="A42" s="1321"/>
      <c r="B42" s="1312" t="s">
        <v>1184</v>
      </c>
      <c r="C42" s="1312">
        <f>1.4+3.25+2.95+2.15</f>
        <v>9.75</v>
      </c>
      <c r="D42" s="1312" t="s">
        <v>71</v>
      </c>
      <c r="E42" s="1312">
        <f t="shared" si="6"/>
        <v>2.8</v>
      </c>
      <c r="F42" s="1312" t="s">
        <v>72</v>
      </c>
      <c r="G42" s="1312">
        <f t="shared" si="5"/>
        <v>27.3</v>
      </c>
    </row>
    <row r="43" spans="1:7" ht="25.5" x14ac:dyDescent="0.2">
      <c r="A43" s="1321"/>
      <c r="B43" s="1312" t="s">
        <v>1381</v>
      </c>
      <c r="C43" s="1312">
        <f>3.4+1.3+5.15+3.27+2+3.5+1.5</f>
        <v>20.12</v>
      </c>
      <c r="D43" s="1312" t="s">
        <v>71</v>
      </c>
      <c r="E43" s="1312">
        <f t="shared" si="6"/>
        <v>2.8</v>
      </c>
      <c r="F43" s="1312" t="s">
        <v>72</v>
      </c>
      <c r="G43" s="1312">
        <f t="shared" ref="G43:G45" si="7">ROUND(C43*E43,2)</f>
        <v>56.34</v>
      </c>
    </row>
    <row r="44" spans="1:7" x14ac:dyDescent="0.2">
      <c r="A44" s="1321"/>
      <c r="B44" s="1312" t="s">
        <v>293</v>
      </c>
      <c r="C44" s="1312">
        <f>3.15+3.18+3.5</f>
        <v>9.83</v>
      </c>
      <c r="D44" s="1312" t="s">
        <v>71</v>
      </c>
      <c r="E44" s="1312">
        <f t="shared" si="6"/>
        <v>2.8</v>
      </c>
      <c r="F44" s="1312" t="s">
        <v>72</v>
      </c>
      <c r="G44" s="1312">
        <f t="shared" si="7"/>
        <v>27.52</v>
      </c>
    </row>
    <row r="45" spans="1:7" ht="25.5" x14ac:dyDescent="0.2">
      <c r="A45" s="1321"/>
      <c r="B45" s="1312" t="s">
        <v>1382</v>
      </c>
      <c r="C45" s="1312">
        <f>3.75+3.34+3.71</f>
        <v>10.8</v>
      </c>
      <c r="D45" s="1312" t="s">
        <v>71</v>
      </c>
      <c r="E45" s="1312">
        <f t="shared" si="6"/>
        <v>2.8</v>
      </c>
      <c r="F45" s="1312" t="s">
        <v>72</v>
      </c>
      <c r="G45" s="1312">
        <f t="shared" si="7"/>
        <v>30.24</v>
      </c>
    </row>
    <row r="46" spans="1:7" ht="25.5" x14ac:dyDescent="0.2">
      <c r="A46" s="1321"/>
      <c r="B46" s="1312" t="s">
        <v>1383</v>
      </c>
      <c r="C46" s="1312">
        <f>2.6+3.8+2.5</f>
        <v>8.9</v>
      </c>
      <c r="D46" s="1312" t="s">
        <v>71</v>
      </c>
      <c r="E46" s="1312">
        <f t="shared" si="6"/>
        <v>2.8</v>
      </c>
      <c r="F46" s="1312" t="s">
        <v>72</v>
      </c>
      <c r="G46" s="1312">
        <f t="shared" ref="G46:G47" si="8">ROUND(C46*E46,2)</f>
        <v>24.92</v>
      </c>
    </row>
    <row r="47" spans="1:7" ht="25.5" x14ac:dyDescent="0.2">
      <c r="A47" s="1321"/>
      <c r="B47" s="1312" t="s">
        <v>502</v>
      </c>
      <c r="C47" s="1312">
        <f>3.35+4</f>
        <v>7.35</v>
      </c>
      <c r="D47" s="1312" t="s">
        <v>71</v>
      </c>
      <c r="E47" s="1312">
        <f t="shared" si="6"/>
        <v>2.8</v>
      </c>
      <c r="F47" s="1312" t="s">
        <v>72</v>
      </c>
      <c r="G47" s="1312">
        <f t="shared" si="8"/>
        <v>20.58</v>
      </c>
    </row>
    <row r="48" spans="1:7" x14ac:dyDescent="0.2">
      <c r="A48" s="1321"/>
      <c r="B48" s="1312" t="s">
        <v>1348</v>
      </c>
      <c r="C48" s="1312">
        <v>2.35</v>
      </c>
      <c r="D48" s="1312" t="s">
        <v>71</v>
      </c>
      <c r="E48" s="1312">
        <f t="shared" si="6"/>
        <v>2.8</v>
      </c>
      <c r="F48" s="1312" t="s">
        <v>72</v>
      </c>
      <c r="G48" s="1312">
        <f t="shared" ref="G48" si="9">ROUND(C48*E48,2)</f>
        <v>6.58</v>
      </c>
    </row>
    <row r="49" spans="1:11" x14ac:dyDescent="0.2">
      <c r="A49" s="663"/>
      <c r="B49" s="1312" t="s">
        <v>488</v>
      </c>
      <c r="C49" s="1312">
        <v>4.0999999999999996</v>
      </c>
      <c r="D49" s="1312" t="s">
        <v>71</v>
      </c>
      <c r="E49" s="1312">
        <v>2.8</v>
      </c>
      <c r="F49" s="1312" t="s">
        <v>72</v>
      </c>
      <c r="G49" s="1312">
        <f t="shared" ref="G49:G55" si="10">ROUND(C49*E49,2)</f>
        <v>11.48</v>
      </c>
    </row>
    <row r="50" spans="1:11" ht="25.5" x14ac:dyDescent="0.2">
      <c r="A50" s="663"/>
      <c r="B50" s="1312" t="s">
        <v>489</v>
      </c>
      <c r="C50" s="1312">
        <f>6.73+3.05</f>
        <v>9.7800000000000011</v>
      </c>
      <c r="D50" s="1312" t="s">
        <v>71</v>
      </c>
      <c r="E50" s="1312">
        <v>2.8</v>
      </c>
      <c r="F50" s="1312" t="s">
        <v>72</v>
      </c>
      <c r="G50" s="1312">
        <f t="shared" si="10"/>
        <v>27.38</v>
      </c>
    </row>
    <row r="51" spans="1:11" ht="25.5" x14ac:dyDescent="0.2">
      <c r="A51" s="735"/>
      <c r="B51" s="1312" t="s">
        <v>607</v>
      </c>
      <c r="C51" s="1312">
        <f>21.53+4.9</f>
        <v>26.43</v>
      </c>
      <c r="D51" s="1312" t="s">
        <v>71</v>
      </c>
      <c r="E51" s="1312">
        <v>0.4</v>
      </c>
      <c r="F51" s="1312" t="s">
        <v>72</v>
      </c>
      <c r="G51" s="1312">
        <f t="shared" si="10"/>
        <v>10.57</v>
      </c>
    </row>
    <row r="52" spans="1:11" ht="25.5" x14ac:dyDescent="0.2">
      <c r="A52" s="735"/>
      <c r="B52" s="1312" t="s">
        <v>608</v>
      </c>
      <c r="C52" s="1312">
        <f>1.2+14.75+1.15+2.95+3.07</f>
        <v>23.119999999999997</v>
      </c>
      <c r="D52" s="1312" t="s">
        <v>71</v>
      </c>
      <c r="E52" s="1312">
        <v>0.4</v>
      </c>
      <c r="F52" s="1312" t="s">
        <v>72</v>
      </c>
      <c r="G52" s="1312">
        <f t="shared" si="10"/>
        <v>9.25</v>
      </c>
    </row>
    <row r="53" spans="1:11" x14ac:dyDescent="0.2">
      <c r="A53" s="816"/>
      <c r="B53" s="1312" t="s">
        <v>665</v>
      </c>
      <c r="C53" s="1312">
        <f>4.8+9.05+0.4+0.5</f>
        <v>14.750000000000002</v>
      </c>
      <c r="D53" s="1312" t="s">
        <v>71</v>
      </c>
      <c r="E53" s="1312">
        <v>1.2</v>
      </c>
      <c r="F53" s="1312" t="s">
        <v>72</v>
      </c>
      <c r="G53" s="1312">
        <f t="shared" si="10"/>
        <v>17.7</v>
      </c>
    </row>
    <row r="54" spans="1:11" x14ac:dyDescent="0.2">
      <c r="A54" s="823"/>
      <c r="B54" s="1312" t="s">
        <v>666</v>
      </c>
      <c r="C54" s="1312">
        <v>11.6</v>
      </c>
      <c r="D54" s="1312" t="s">
        <v>71</v>
      </c>
      <c r="E54" s="1312">
        <v>1.2</v>
      </c>
      <c r="F54" s="1312" t="s">
        <v>72</v>
      </c>
      <c r="G54" s="1312">
        <f t="shared" si="10"/>
        <v>13.92</v>
      </c>
    </row>
    <row r="55" spans="1:11" x14ac:dyDescent="0.2">
      <c r="A55" s="823"/>
      <c r="B55" s="1312" t="s">
        <v>667</v>
      </c>
      <c r="C55" s="1312">
        <f>12.8+2.2</f>
        <v>15</v>
      </c>
      <c r="D55" s="1312" t="s">
        <v>71</v>
      </c>
      <c r="E55" s="1312">
        <v>1.2</v>
      </c>
      <c r="F55" s="1312" t="s">
        <v>72</v>
      </c>
      <c r="G55" s="1312">
        <f t="shared" si="10"/>
        <v>18</v>
      </c>
    </row>
    <row r="56" spans="1:11" ht="13.5" thickBot="1" x14ac:dyDescent="0.25">
      <c r="A56" s="823"/>
      <c r="B56" s="824"/>
      <c r="C56" s="824"/>
      <c r="D56" s="824"/>
      <c r="E56" s="824"/>
      <c r="F56" s="824"/>
      <c r="G56" s="824"/>
    </row>
    <row r="57" spans="1:11" ht="13.5" customHeight="1" thickBot="1" x14ac:dyDescent="0.25">
      <c r="A57" s="345"/>
      <c r="B57" s="1908" t="s">
        <v>609</v>
      </c>
      <c r="C57" s="1931"/>
      <c r="D57" s="1931"/>
      <c r="E57" s="1931"/>
      <c r="F57" s="1931"/>
      <c r="G57" s="717">
        <f>SUM(G19:G55)</f>
        <v>1140.0700000000002</v>
      </c>
    </row>
    <row r="58" spans="1:11" s="379" customFormat="1" ht="13.5" customHeight="1" x14ac:dyDescent="0.2">
      <c r="A58" s="477"/>
      <c r="B58" s="450"/>
      <c r="C58" s="450"/>
      <c r="D58" s="450"/>
      <c r="E58" s="450"/>
      <c r="F58" s="450"/>
      <c r="G58" s="450"/>
    </row>
    <row r="59" spans="1:11" x14ac:dyDescent="0.2">
      <c r="A59" s="509"/>
      <c r="B59" s="1933" t="s">
        <v>337</v>
      </c>
      <c r="C59" s="1933"/>
      <c r="D59" s="1933"/>
      <c r="E59" s="1933"/>
      <c r="F59" s="1933"/>
      <c r="G59" s="1933"/>
      <c r="H59" s="1933"/>
      <c r="I59" s="1933"/>
      <c r="J59" s="1933"/>
      <c r="K59" s="510"/>
    </row>
    <row r="60" spans="1:11" s="508" customFormat="1" x14ac:dyDescent="0.2">
      <c r="A60" s="504"/>
      <c r="B60" s="1932" t="s">
        <v>224</v>
      </c>
      <c r="C60" s="1932"/>
      <c r="D60" s="1310" t="s">
        <v>225</v>
      </c>
      <c r="E60" s="1310"/>
      <c r="F60" s="1310" t="s">
        <v>291</v>
      </c>
      <c r="G60" s="1310"/>
      <c r="H60" s="1327" t="s">
        <v>250</v>
      </c>
      <c r="I60" s="1310"/>
      <c r="J60" s="1310" t="s">
        <v>263</v>
      </c>
    </row>
    <row r="61" spans="1:11" x14ac:dyDescent="0.2">
      <c r="A61" s="22"/>
      <c r="B61" s="1925" t="str">
        <f>'ESQ. 9'!B41</f>
        <v>E1</v>
      </c>
      <c r="C61" s="1925"/>
      <c r="D61" s="1312">
        <f>'ESQ. 9'!C41</f>
        <v>2</v>
      </c>
      <c r="E61" s="1327" t="s">
        <v>71</v>
      </c>
      <c r="F61" s="1312">
        <f>'ESQ. 9'!E41</f>
        <v>0.5</v>
      </c>
      <c r="G61" s="1322" t="s">
        <v>71</v>
      </c>
      <c r="H61" s="1312">
        <f>'ESQ. 9'!G41</f>
        <v>1</v>
      </c>
      <c r="I61" s="1364" t="s">
        <v>72</v>
      </c>
      <c r="J61" s="528">
        <f>ROUND((D61*F61*H61),2)</f>
        <v>1</v>
      </c>
    </row>
    <row r="62" spans="1:11" x14ac:dyDescent="0.2">
      <c r="A62" s="22"/>
      <c r="B62" s="1925" t="str">
        <f>'ESQ. 9'!B42</f>
        <v>E2</v>
      </c>
      <c r="C62" s="1925"/>
      <c r="D62" s="1312">
        <f>'ESQ. 9'!C42</f>
        <v>1.5</v>
      </c>
      <c r="E62" s="1327" t="s">
        <v>71</v>
      </c>
      <c r="F62" s="1312">
        <f>'ESQ. 9'!E42</f>
        <v>0.5</v>
      </c>
      <c r="G62" s="1322" t="s">
        <v>71</v>
      </c>
      <c r="H62" s="1312">
        <f>'ESQ. 9'!G42</f>
        <v>4</v>
      </c>
      <c r="I62" s="1364" t="s">
        <v>72</v>
      </c>
      <c r="J62" s="528">
        <f t="shared" ref="J62:J72" si="11">ROUND((D62*F62*H62),2)</f>
        <v>3</v>
      </c>
    </row>
    <row r="63" spans="1:11" x14ac:dyDescent="0.2">
      <c r="A63" s="22"/>
      <c r="B63" s="1925" t="str">
        <f>'ESQ. 9'!B43</f>
        <v>E3</v>
      </c>
      <c r="C63" s="1925"/>
      <c r="D63" s="1312">
        <f>'ESQ. 9'!C43</f>
        <v>1.2</v>
      </c>
      <c r="E63" s="1327" t="s">
        <v>71</v>
      </c>
      <c r="F63" s="1312">
        <f>'ESQ. 9'!E43</f>
        <v>0.5</v>
      </c>
      <c r="G63" s="1322" t="s">
        <v>71</v>
      </c>
      <c r="H63" s="1312">
        <f>'ESQ. 9'!G43</f>
        <v>1</v>
      </c>
      <c r="I63" s="1364" t="s">
        <v>72</v>
      </c>
      <c r="J63" s="528">
        <f>ROUND((D63*F63*H63),2)</f>
        <v>0.6</v>
      </c>
    </row>
    <row r="64" spans="1:11" ht="12.75" customHeight="1" x14ac:dyDescent="0.2">
      <c r="A64" s="22"/>
      <c r="B64" s="1925" t="str">
        <f>'ESQ. 9'!B44</f>
        <v>E4</v>
      </c>
      <c r="C64" s="1925"/>
      <c r="D64" s="1312">
        <f>'ESQ. 9'!C44</f>
        <v>1</v>
      </c>
      <c r="E64" s="1327" t="s">
        <v>71</v>
      </c>
      <c r="F64" s="1312">
        <f>'ESQ. 9'!E44</f>
        <v>0.5</v>
      </c>
      <c r="G64" s="1322" t="s">
        <v>71</v>
      </c>
      <c r="H64" s="1312">
        <f>'ESQ. 9'!G44</f>
        <v>1</v>
      </c>
      <c r="I64" s="1364" t="s">
        <v>72</v>
      </c>
      <c r="J64" s="528">
        <f t="shared" si="11"/>
        <v>0.5</v>
      </c>
    </row>
    <row r="65" spans="1:10" x14ac:dyDescent="0.2">
      <c r="A65" s="22"/>
      <c r="B65" s="1925" t="str">
        <f>'ESQ. 9'!B45</f>
        <v>E5</v>
      </c>
      <c r="C65" s="1925"/>
      <c r="D65" s="1312">
        <f>'ESQ. 9'!C45</f>
        <v>0.8</v>
      </c>
      <c r="E65" s="1327" t="s">
        <v>71</v>
      </c>
      <c r="F65" s="1312">
        <f>'ESQ. 9'!E45</f>
        <v>0.5</v>
      </c>
      <c r="G65" s="1322" t="s">
        <v>71</v>
      </c>
      <c r="H65" s="1312">
        <f>'ESQ. 9'!G45</f>
        <v>1</v>
      </c>
      <c r="I65" s="1364" t="s">
        <v>72</v>
      </c>
      <c r="J65" s="528">
        <f t="shared" si="11"/>
        <v>0.4</v>
      </c>
    </row>
    <row r="66" spans="1:10" ht="12.75" customHeight="1" x14ac:dyDescent="0.2">
      <c r="A66" s="22"/>
      <c r="B66" s="1925" t="str">
        <f>'ESQ. 9'!B46</f>
        <v>E6</v>
      </c>
      <c r="C66" s="1925"/>
      <c r="D66" s="1312">
        <f>'ESQ. 9'!C46</f>
        <v>0.6</v>
      </c>
      <c r="E66" s="1327" t="s">
        <v>71</v>
      </c>
      <c r="F66" s="1312">
        <f>'ESQ. 9'!E46</f>
        <v>0.5</v>
      </c>
      <c r="G66" s="1322" t="s">
        <v>71</v>
      </c>
      <c r="H66" s="1312">
        <f>'ESQ. 9'!G46</f>
        <v>1</v>
      </c>
      <c r="I66" s="1364" t="s">
        <v>72</v>
      </c>
      <c r="J66" s="528">
        <f t="shared" si="11"/>
        <v>0.3</v>
      </c>
    </row>
    <row r="67" spans="1:10" x14ac:dyDescent="0.2">
      <c r="A67" s="22"/>
      <c r="B67" s="1925" t="str">
        <f>'ESQ. 9'!B47</f>
        <v>E7</v>
      </c>
      <c r="C67" s="1925"/>
      <c r="D67" s="1312">
        <f>'ESQ. 9'!C47</f>
        <v>1.4</v>
      </c>
      <c r="E67" s="1327" t="s">
        <v>71</v>
      </c>
      <c r="F67" s="1312">
        <f>'ESQ. 9'!E47</f>
        <v>0.5</v>
      </c>
      <c r="G67" s="1322" t="s">
        <v>71</v>
      </c>
      <c r="H67" s="1312">
        <f>'ESQ. 9'!G47</f>
        <v>2</v>
      </c>
      <c r="I67" s="1364" t="s">
        <v>72</v>
      </c>
      <c r="J67" s="528">
        <f t="shared" si="11"/>
        <v>1.4</v>
      </c>
    </row>
    <row r="68" spans="1:10" x14ac:dyDescent="0.2">
      <c r="A68" s="22"/>
      <c r="B68" s="1925" t="str">
        <f>'ESQ. 9'!B49</f>
        <v>E9</v>
      </c>
      <c r="C68" s="1925"/>
      <c r="D68" s="1312">
        <f>'ESQ. 9'!C49</f>
        <v>2.2999999999999998</v>
      </c>
      <c r="E68" s="1327" t="s">
        <v>71</v>
      </c>
      <c r="F68" s="1312">
        <f>'ESQ. 9'!E49</f>
        <v>0.5</v>
      </c>
      <c r="G68" s="1322" t="s">
        <v>71</v>
      </c>
      <c r="H68" s="1312">
        <f>'ESQ. 9'!G49</f>
        <v>1</v>
      </c>
      <c r="I68" s="1364" t="s">
        <v>72</v>
      </c>
      <c r="J68" s="528">
        <f t="shared" si="11"/>
        <v>1.1499999999999999</v>
      </c>
    </row>
    <row r="69" spans="1:10" x14ac:dyDescent="0.2">
      <c r="A69" s="22"/>
      <c r="B69" s="1925" t="str">
        <f>'ESQ. 9'!B50</f>
        <v>E10</v>
      </c>
      <c r="C69" s="1925"/>
      <c r="D69" s="1312">
        <f>'ESQ. 9'!C50</f>
        <v>3</v>
      </c>
      <c r="E69" s="1327" t="s">
        <v>71</v>
      </c>
      <c r="F69" s="1312">
        <f>'ESQ. 9'!E50</f>
        <v>0.5</v>
      </c>
      <c r="G69" s="1322" t="s">
        <v>71</v>
      </c>
      <c r="H69" s="1312">
        <f>'ESQ. 9'!G50</f>
        <v>1</v>
      </c>
      <c r="I69" s="1364" t="s">
        <v>72</v>
      </c>
      <c r="J69" s="528">
        <f t="shared" si="11"/>
        <v>1.5</v>
      </c>
    </row>
    <row r="70" spans="1:10" x14ac:dyDescent="0.2">
      <c r="A70" s="22"/>
      <c r="B70" s="1925" t="str">
        <f>'ESQ. 9'!B51</f>
        <v>E11</v>
      </c>
      <c r="C70" s="1925"/>
      <c r="D70" s="1312">
        <f>'ESQ. 9'!C51</f>
        <v>3.5</v>
      </c>
      <c r="E70" s="1327" t="s">
        <v>71</v>
      </c>
      <c r="F70" s="1312">
        <f>'ESQ. 9'!E51</f>
        <v>0.5</v>
      </c>
      <c r="G70" s="1322" t="s">
        <v>71</v>
      </c>
      <c r="H70" s="1312">
        <f>'ESQ. 9'!G51</f>
        <v>1</v>
      </c>
      <c r="I70" s="1364" t="s">
        <v>72</v>
      </c>
      <c r="J70" s="528">
        <f t="shared" si="11"/>
        <v>1.75</v>
      </c>
    </row>
    <row r="71" spans="1:10" x14ac:dyDescent="0.2">
      <c r="A71" s="22"/>
      <c r="B71" s="1925" t="str">
        <f>'ESQ. 9'!B52</f>
        <v>E12</v>
      </c>
      <c r="C71" s="1925"/>
      <c r="D71" s="1312">
        <f>'ESQ. 9'!C52</f>
        <v>3.3</v>
      </c>
      <c r="E71" s="1327" t="s">
        <v>71</v>
      </c>
      <c r="F71" s="1312">
        <f>'ESQ. 9'!E52</f>
        <v>0.5</v>
      </c>
      <c r="G71" s="1322" t="s">
        <v>71</v>
      </c>
      <c r="H71" s="1312">
        <f>'ESQ. 9'!G52</f>
        <v>1</v>
      </c>
      <c r="I71" s="1364" t="s">
        <v>72</v>
      </c>
      <c r="J71" s="528">
        <f t="shared" si="11"/>
        <v>1.65</v>
      </c>
    </row>
    <row r="72" spans="1:10" x14ac:dyDescent="0.2">
      <c r="A72" s="22"/>
      <c r="B72" s="1925" t="str">
        <f>'ESQ. 9'!B53</f>
        <v>E13</v>
      </c>
      <c r="C72" s="1925"/>
      <c r="D72" s="1312">
        <f>'ESQ. 9'!C53</f>
        <v>3.7</v>
      </c>
      <c r="E72" s="1327" t="s">
        <v>71</v>
      </c>
      <c r="F72" s="1312">
        <f>'ESQ. 9'!E53</f>
        <v>0.5</v>
      </c>
      <c r="G72" s="1322" t="s">
        <v>71</v>
      </c>
      <c r="H72" s="1312">
        <f>'ESQ. 9'!G53</f>
        <v>1</v>
      </c>
      <c r="I72" s="1364" t="s">
        <v>72</v>
      </c>
      <c r="J72" s="528">
        <f t="shared" si="11"/>
        <v>1.85</v>
      </c>
    </row>
    <row r="73" spans="1:10" x14ac:dyDescent="0.2">
      <c r="A73" s="22"/>
      <c r="B73" s="1925" t="str">
        <f>'ESQ. 9'!B54</f>
        <v>E14</v>
      </c>
      <c r="C73" s="1925"/>
      <c r="D73" s="1312">
        <f>'ESQ. 9'!C54</f>
        <v>4</v>
      </c>
      <c r="E73" s="1327" t="s">
        <v>71</v>
      </c>
      <c r="F73" s="1312">
        <f>'ESQ. 9'!E54</f>
        <v>0.5</v>
      </c>
      <c r="G73" s="1322" t="s">
        <v>71</v>
      </c>
      <c r="H73" s="1312">
        <f>'ESQ. 9'!G54</f>
        <v>2</v>
      </c>
      <c r="I73" s="1364" t="s">
        <v>72</v>
      </c>
      <c r="J73" s="528">
        <f t="shared" ref="J73:J88" si="12">ROUND((D73*F73*H73),2)</f>
        <v>4</v>
      </c>
    </row>
    <row r="74" spans="1:10" x14ac:dyDescent="0.2">
      <c r="A74" s="22"/>
      <c r="B74" s="1925" t="str">
        <f>'ESQ. 9'!B97</f>
        <v>V2</v>
      </c>
      <c r="C74" s="1925"/>
      <c r="D74" s="1312">
        <f>'ESQ. 9'!C97</f>
        <v>1</v>
      </c>
      <c r="E74" s="1327" t="s">
        <v>71</v>
      </c>
      <c r="F74" s="1312">
        <f>'ESQ. 9'!E97</f>
        <v>1</v>
      </c>
      <c r="G74" s="1322" t="s">
        <v>71</v>
      </c>
      <c r="H74" s="1312">
        <f>'ESQ. 9'!G97</f>
        <v>1</v>
      </c>
      <c r="I74" s="1364" t="s">
        <v>72</v>
      </c>
      <c r="J74" s="528">
        <f t="shared" si="12"/>
        <v>1</v>
      </c>
    </row>
    <row r="75" spans="1:10" ht="12.75" customHeight="1" x14ac:dyDescent="0.2">
      <c r="A75" s="22"/>
      <c r="B75" s="1932" t="s">
        <v>1389</v>
      </c>
      <c r="C75" s="1932"/>
      <c r="D75" s="1312">
        <f>3.05+0.9</f>
        <v>3.9499999999999997</v>
      </c>
      <c r="E75" s="1312" t="s">
        <v>71</v>
      </c>
      <c r="F75" s="1312">
        <f>0.8+0.8+1.1+0.85+0.85+0.6</f>
        <v>5</v>
      </c>
      <c r="G75" s="1322" t="s">
        <v>71</v>
      </c>
      <c r="H75" s="1312">
        <v>1</v>
      </c>
      <c r="I75" s="1312" t="s">
        <v>72</v>
      </c>
      <c r="J75" s="528">
        <f t="shared" si="12"/>
        <v>19.75</v>
      </c>
    </row>
    <row r="76" spans="1:10" x14ac:dyDescent="0.2">
      <c r="A76" s="22"/>
      <c r="B76" s="1932"/>
      <c r="C76" s="1932"/>
      <c r="D76" s="1312">
        <v>1.8</v>
      </c>
      <c r="E76" s="1312" t="s">
        <v>71</v>
      </c>
      <c r="F76" s="1312">
        <f>0.5+0.9+0.9+0.9</f>
        <v>3.1999999999999997</v>
      </c>
      <c r="G76" s="1322" t="s">
        <v>71</v>
      </c>
      <c r="H76" s="1312">
        <v>1</v>
      </c>
      <c r="I76" s="1312" t="s">
        <v>72</v>
      </c>
      <c r="J76" s="528">
        <f t="shared" si="12"/>
        <v>5.76</v>
      </c>
    </row>
    <row r="77" spans="1:10" x14ac:dyDescent="0.2">
      <c r="A77" s="22"/>
      <c r="B77" s="1932" t="s">
        <v>1390</v>
      </c>
      <c r="C77" s="1932"/>
      <c r="D77" s="1312">
        <f>1.9+2.6</f>
        <v>4.5</v>
      </c>
      <c r="E77" s="1312" t="s">
        <v>71</v>
      </c>
      <c r="F77" s="1312">
        <v>2.2000000000000002</v>
      </c>
      <c r="G77" s="1322" t="s">
        <v>71</v>
      </c>
      <c r="H77" s="1312">
        <v>1</v>
      </c>
      <c r="I77" s="1312" t="s">
        <v>72</v>
      </c>
      <c r="J77" s="528">
        <f t="shared" si="12"/>
        <v>9.9</v>
      </c>
    </row>
    <row r="78" spans="1:10" x14ac:dyDescent="0.2">
      <c r="A78" s="22"/>
      <c r="B78" s="1932"/>
      <c r="C78" s="1932"/>
      <c r="D78" s="1312">
        <f>1.9+2.6</f>
        <v>4.5</v>
      </c>
      <c r="E78" s="1312" t="s">
        <v>71</v>
      </c>
      <c r="F78" s="1312">
        <v>2.8</v>
      </c>
      <c r="G78" s="1322" t="s">
        <v>71</v>
      </c>
      <c r="H78" s="1312">
        <v>1</v>
      </c>
      <c r="I78" s="1312" t="s">
        <v>72</v>
      </c>
      <c r="J78" s="528">
        <f t="shared" si="12"/>
        <v>12.6</v>
      </c>
    </row>
    <row r="79" spans="1:10" x14ac:dyDescent="0.2">
      <c r="A79" s="22"/>
      <c r="B79" s="1925" t="s">
        <v>804</v>
      </c>
      <c r="C79" s="1925"/>
      <c r="D79" s="1312">
        <f>3.4+3.6+3.45+3.55</f>
        <v>14</v>
      </c>
      <c r="E79" s="1312" t="s">
        <v>71</v>
      </c>
      <c r="F79" s="1312">
        <v>1.9</v>
      </c>
      <c r="G79" s="1322" t="s">
        <v>71</v>
      </c>
      <c r="H79" s="1312">
        <v>1</v>
      </c>
      <c r="I79" s="1312" t="s">
        <v>72</v>
      </c>
      <c r="J79" s="528">
        <f t="shared" si="12"/>
        <v>26.6</v>
      </c>
    </row>
    <row r="80" spans="1:10" x14ac:dyDescent="0.2">
      <c r="A80" s="22"/>
      <c r="B80" s="1932" t="s">
        <v>805</v>
      </c>
      <c r="C80" s="1932"/>
      <c r="D80" s="1312">
        <v>3</v>
      </c>
      <c r="E80" s="1312" t="s">
        <v>71</v>
      </c>
      <c r="F80" s="1312">
        <v>4.9000000000000004</v>
      </c>
      <c r="G80" s="1322" t="s">
        <v>71</v>
      </c>
      <c r="H80" s="1312">
        <v>1</v>
      </c>
      <c r="I80" s="1312" t="s">
        <v>72</v>
      </c>
      <c r="J80" s="528">
        <f t="shared" si="12"/>
        <v>14.7</v>
      </c>
    </row>
    <row r="81" spans="1:11" x14ac:dyDescent="0.2">
      <c r="A81" s="22"/>
      <c r="B81" s="1932"/>
      <c r="C81" s="1932"/>
      <c r="D81" s="1312">
        <f>4.85+2</f>
        <v>6.85</v>
      </c>
      <c r="E81" s="1312" t="s">
        <v>71</v>
      </c>
      <c r="F81" s="1312">
        <v>5.7</v>
      </c>
      <c r="G81" s="1322" t="s">
        <v>71</v>
      </c>
      <c r="H81" s="1312">
        <v>1</v>
      </c>
      <c r="I81" s="1312" t="s">
        <v>72</v>
      </c>
      <c r="J81" s="528">
        <f t="shared" si="12"/>
        <v>39.049999999999997</v>
      </c>
    </row>
    <row r="82" spans="1:11" x14ac:dyDescent="0.2">
      <c r="A82" s="22"/>
      <c r="B82" s="1932" t="s">
        <v>806</v>
      </c>
      <c r="C82" s="1932"/>
      <c r="D82" s="1312">
        <v>1.9</v>
      </c>
      <c r="E82" s="1312" t="s">
        <v>71</v>
      </c>
      <c r="F82" s="1312">
        <v>2.2000000000000002</v>
      </c>
      <c r="G82" s="1322" t="s">
        <v>71</v>
      </c>
      <c r="H82" s="1312">
        <v>1</v>
      </c>
      <c r="I82" s="1312" t="s">
        <v>72</v>
      </c>
      <c r="J82" s="528">
        <f t="shared" si="12"/>
        <v>4.18</v>
      </c>
    </row>
    <row r="83" spans="1:11" x14ac:dyDescent="0.2">
      <c r="A83" s="22"/>
      <c r="B83" s="1932"/>
      <c r="C83" s="1932"/>
      <c r="D83" s="1312">
        <v>2.6</v>
      </c>
      <c r="E83" s="1312" t="s">
        <v>71</v>
      </c>
      <c r="F83" s="1312">
        <v>2.2000000000000002</v>
      </c>
      <c r="G83" s="1322" t="s">
        <v>71</v>
      </c>
      <c r="H83" s="1312">
        <v>1</v>
      </c>
      <c r="I83" s="1312" t="s">
        <v>72</v>
      </c>
      <c r="J83" s="528">
        <f t="shared" si="12"/>
        <v>5.72</v>
      </c>
    </row>
    <row r="84" spans="1:11" x14ac:dyDescent="0.2">
      <c r="A84" s="22"/>
      <c r="B84" s="1925" t="s">
        <v>807</v>
      </c>
      <c r="C84" s="1925"/>
      <c r="D84" s="1312">
        <v>1.9</v>
      </c>
      <c r="E84" s="1312" t="s">
        <v>71</v>
      </c>
      <c r="F84" s="1312">
        <v>1.3</v>
      </c>
      <c r="G84" s="1322" t="s">
        <v>71</v>
      </c>
      <c r="H84" s="1312">
        <v>1</v>
      </c>
      <c r="I84" s="1312" t="s">
        <v>72</v>
      </c>
      <c r="J84" s="528">
        <f t="shared" si="12"/>
        <v>2.4700000000000002</v>
      </c>
    </row>
    <row r="85" spans="1:11" x14ac:dyDescent="0.2">
      <c r="A85" s="22"/>
      <c r="B85" s="1925" t="s">
        <v>808</v>
      </c>
      <c r="C85" s="1925"/>
      <c r="D85" s="1312">
        <v>1.9</v>
      </c>
      <c r="E85" s="1312" t="s">
        <v>71</v>
      </c>
      <c r="F85" s="1312">
        <v>1.6</v>
      </c>
      <c r="G85" s="1322" t="s">
        <v>71</v>
      </c>
      <c r="H85" s="1312">
        <v>1</v>
      </c>
      <c r="I85" s="1312" t="s">
        <v>72</v>
      </c>
      <c r="J85" s="528">
        <f t="shared" si="12"/>
        <v>3.04</v>
      </c>
    </row>
    <row r="86" spans="1:11" x14ac:dyDescent="0.2">
      <c r="A86" s="22"/>
      <c r="B86" s="1925" t="s">
        <v>809</v>
      </c>
      <c r="C86" s="1925"/>
      <c r="D86" s="1312">
        <v>1.1499999999999999</v>
      </c>
      <c r="E86" s="1312" t="s">
        <v>71</v>
      </c>
      <c r="F86" s="1312">
        <v>1.9</v>
      </c>
      <c r="G86" s="1322" t="s">
        <v>71</v>
      </c>
      <c r="H86" s="1312">
        <v>1</v>
      </c>
      <c r="I86" s="1312" t="s">
        <v>72</v>
      </c>
      <c r="J86" s="528">
        <f t="shared" si="12"/>
        <v>2.19</v>
      </c>
    </row>
    <row r="87" spans="1:11" x14ac:dyDescent="0.2">
      <c r="A87" s="22"/>
      <c r="B87" s="1925" t="s">
        <v>810</v>
      </c>
      <c r="C87" s="1925"/>
      <c r="D87" s="1312">
        <v>1.2</v>
      </c>
      <c r="E87" s="1312" t="s">
        <v>71</v>
      </c>
      <c r="F87" s="1312">
        <v>1.9</v>
      </c>
      <c r="G87" s="1322" t="s">
        <v>71</v>
      </c>
      <c r="H87" s="1312">
        <v>1</v>
      </c>
      <c r="I87" s="1312" t="s">
        <v>72</v>
      </c>
      <c r="J87" s="528">
        <f t="shared" si="12"/>
        <v>2.2799999999999998</v>
      </c>
    </row>
    <row r="88" spans="1:11" x14ac:dyDescent="0.2">
      <c r="A88" s="22"/>
      <c r="B88" s="1925" t="s">
        <v>262</v>
      </c>
      <c r="C88" s="1925"/>
      <c r="D88" s="1312">
        <v>1.2</v>
      </c>
      <c r="E88" s="1312" t="s">
        <v>71</v>
      </c>
      <c r="F88" s="1312">
        <v>2.6</v>
      </c>
      <c r="G88" s="1322" t="s">
        <v>71</v>
      </c>
      <c r="H88" s="1312">
        <v>1</v>
      </c>
      <c r="I88" s="1312" t="s">
        <v>72</v>
      </c>
      <c r="J88" s="528">
        <f t="shared" si="12"/>
        <v>3.12</v>
      </c>
    </row>
    <row r="89" spans="1:11" x14ac:dyDescent="0.2">
      <c r="A89" s="22"/>
      <c r="B89" s="1376"/>
      <c r="D89" s="1317"/>
      <c r="E89" s="704"/>
      <c r="F89" s="1317"/>
      <c r="G89" s="705"/>
      <c r="H89" s="1317"/>
      <c r="I89" s="710"/>
      <c r="J89" s="543"/>
    </row>
    <row r="90" spans="1:11" ht="13.5" customHeight="1" x14ac:dyDescent="0.2">
      <c r="A90" s="522"/>
      <c r="B90" s="1926" t="s">
        <v>338</v>
      </c>
      <c r="C90" s="1926"/>
      <c r="D90" s="1926"/>
      <c r="E90" s="1926"/>
      <c r="F90" s="1926"/>
      <c r="G90" s="1926"/>
      <c r="H90" s="1926"/>
      <c r="I90" s="529">
        <f>SUM(J61:J88)</f>
        <v>171.46</v>
      </c>
      <c r="J90" s="522"/>
      <c r="K90" s="522"/>
    </row>
    <row r="91" spans="1:11" ht="13.5" customHeight="1" x14ac:dyDescent="0.2">
      <c r="A91" s="522"/>
      <c r="B91" s="524"/>
      <c r="C91" s="524"/>
      <c r="D91" s="524"/>
      <c r="E91" s="524"/>
      <c r="F91" s="524"/>
      <c r="G91" s="524"/>
      <c r="H91" s="524"/>
      <c r="I91" s="525"/>
      <c r="J91" s="522"/>
      <c r="K91" s="522"/>
    </row>
    <row r="92" spans="1:11" ht="13.5" customHeight="1" x14ac:dyDescent="0.2">
      <c r="A92" s="522"/>
      <c r="B92" s="1940" t="s">
        <v>339</v>
      </c>
      <c r="C92" s="1940"/>
      <c r="D92" s="1940"/>
      <c r="E92" s="1940"/>
      <c r="F92" s="1940"/>
      <c r="G92" s="1940"/>
      <c r="H92" s="1940"/>
      <c r="I92" s="1940"/>
      <c r="J92" s="1940"/>
      <c r="K92" s="522"/>
    </row>
    <row r="93" spans="1:11" ht="13.5" customHeight="1" x14ac:dyDescent="0.2">
      <c r="A93" s="522"/>
      <c r="B93" s="1932" t="s">
        <v>290</v>
      </c>
      <c r="C93" s="1932"/>
      <c r="D93" s="1310" t="s">
        <v>225</v>
      </c>
      <c r="E93" s="1310"/>
      <c r="F93" s="1310" t="s">
        <v>291</v>
      </c>
      <c r="G93" s="1319"/>
      <c r="H93" s="1327" t="s">
        <v>250</v>
      </c>
      <c r="I93" s="1319"/>
      <c r="J93" s="1310" t="s">
        <v>263</v>
      </c>
    </row>
    <row r="94" spans="1:11" ht="13.5" customHeight="1" x14ac:dyDescent="0.2">
      <c r="A94" s="522"/>
      <c r="B94" s="1925" t="str">
        <f>'ESQ. 9'!$B$127</f>
        <v>P2</v>
      </c>
      <c r="C94" s="1925"/>
      <c r="D94" s="1312">
        <f>'ESQ. 9'!$C$246</f>
        <v>1.5</v>
      </c>
      <c r="E94" s="1327" t="s">
        <v>71</v>
      </c>
      <c r="F94" s="1312">
        <f>'ESQ. 9'!$E$206</f>
        <v>2.1</v>
      </c>
      <c r="G94" s="1322" t="s">
        <v>71</v>
      </c>
      <c r="H94" s="1312">
        <v>2</v>
      </c>
      <c r="I94" s="529" t="s">
        <v>72</v>
      </c>
      <c r="J94" s="528">
        <f>ROUND((D94*F94*H94),2)</f>
        <v>6.3</v>
      </c>
    </row>
    <row r="95" spans="1:11" ht="13.5" customHeight="1" x14ac:dyDescent="0.2">
      <c r="A95" s="522"/>
      <c r="B95" s="1925" t="str">
        <f>'ESQ. 9'!B128</f>
        <v>P3</v>
      </c>
      <c r="C95" s="1925"/>
      <c r="D95" s="1312">
        <f>'ESQ. 9'!C247</f>
        <v>1.8</v>
      </c>
      <c r="E95" s="1327" t="s">
        <v>71</v>
      </c>
      <c r="F95" s="1312">
        <f>'ESQ. 9'!E215</f>
        <v>2.2999999999999998</v>
      </c>
      <c r="G95" s="1322" t="s">
        <v>71</v>
      </c>
      <c r="H95" s="1312">
        <f>'ESQ. 9'!G247</f>
        <v>2</v>
      </c>
      <c r="I95" s="529" t="s">
        <v>72</v>
      </c>
      <c r="J95" s="528">
        <f t="shared" ref="J95:J98" si="13">ROUND((D95*F95*H95),2)</f>
        <v>8.2799999999999994</v>
      </c>
    </row>
    <row r="96" spans="1:11" ht="13.5" customHeight="1" x14ac:dyDescent="0.2">
      <c r="A96" s="522"/>
      <c r="B96" s="1925" t="str">
        <f>'ESQ. 9'!$B$129</f>
        <v>P4</v>
      </c>
      <c r="C96" s="1925"/>
      <c r="D96" s="1312">
        <f>'ESQ. 9'!$C$248</f>
        <v>1.4</v>
      </c>
      <c r="E96" s="1327" t="s">
        <v>71</v>
      </c>
      <c r="F96" s="1312">
        <f>'ESQ. 9'!$E$182</f>
        <v>2.1</v>
      </c>
      <c r="G96" s="1322" t="s">
        <v>71</v>
      </c>
      <c r="H96" s="1312">
        <v>2</v>
      </c>
      <c r="I96" s="529" t="s">
        <v>72</v>
      </c>
      <c r="J96" s="528">
        <f t="shared" si="13"/>
        <v>5.88</v>
      </c>
    </row>
    <row r="97" spans="1:11" x14ac:dyDescent="0.2">
      <c r="A97" s="522"/>
      <c r="B97" s="1925" t="str">
        <f>'ESQ. 9'!B130</f>
        <v>P5</v>
      </c>
      <c r="C97" s="1925"/>
      <c r="D97" s="1312">
        <f>'ESQ. 9'!C249</f>
        <v>0.8</v>
      </c>
      <c r="E97" s="1327" t="s">
        <v>71</v>
      </c>
      <c r="F97" s="1312">
        <f>F96</f>
        <v>2.1</v>
      </c>
      <c r="G97" s="1322" t="s">
        <v>71</v>
      </c>
      <c r="H97" s="1312">
        <f>'ESQ. 9'!G249</f>
        <v>2</v>
      </c>
      <c r="I97" s="529" t="s">
        <v>72</v>
      </c>
      <c r="J97" s="528">
        <f t="shared" si="13"/>
        <v>3.36</v>
      </c>
    </row>
    <row r="98" spans="1:11" x14ac:dyDescent="0.2">
      <c r="A98" s="522"/>
      <c r="B98" s="1925" t="str">
        <f>'ESQ. 9'!B131</f>
        <v>P6</v>
      </c>
      <c r="C98" s="1925"/>
      <c r="D98" s="1312">
        <f>'ESQ. 9'!C250</f>
        <v>0.7</v>
      </c>
      <c r="E98" s="1327" t="s">
        <v>71</v>
      </c>
      <c r="F98" s="1312">
        <f t="shared" ref="F98:F101" si="14">F97</f>
        <v>2.1</v>
      </c>
      <c r="G98" s="1322" t="s">
        <v>71</v>
      </c>
      <c r="H98" s="1312">
        <f>'ESQ. 9'!G250</f>
        <v>3</v>
      </c>
      <c r="I98" s="529" t="s">
        <v>72</v>
      </c>
      <c r="J98" s="528">
        <f t="shared" si="13"/>
        <v>4.41</v>
      </c>
    </row>
    <row r="99" spans="1:11" x14ac:dyDescent="0.2">
      <c r="A99" s="522"/>
      <c r="B99" s="1925" t="s">
        <v>1194</v>
      </c>
      <c r="C99" s="1925"/>
      <c r="D99" s="1312">
        <f>'ESQ. 9'!$C$251</f>
        <v>0.9</v>
      </c>
      <c r="E99" s="1327" t="s">
        <v>71</v>
      </c>
      <c r="F99" s="1312">
        <f>F98</f>
        <v>2.1</v>
      </c>
      <c r="G99" s="1322" t="s">
        <v>71</v>
      </c>
      <c r="H99" s="1312">
        <v>1</v>
      </c>
      <c r="I99" s="529" t="s">
        <v>72</v>
      </c>
      <c r="J99" s="528">
        <f t="shared" ref="J99:J101" si="15">ROUND((D99*F99*H99),2)</f>
        <v>1.89</v>
      </c>
    </row>
    <row r="100" spans="1:11" x14ac:dyDescent="0.2">
      <c r="A100" s="522"/>
      <c r="B100" s="1925" t="str">
        <f>'ESQ. 9'!B133</f>
        <v>P8</v>
      </c>
      <c r="C100" s="1925"/>
      <c r="D100" s="1312">
        <f>'ESQ. 9'!C252</f>
        <v>0.8</v>
      </c>
      <c r="E100" s="1327" t="s">
        <v>71</v>
      </c>
      <c r="F100" s="1312">
        <f t="shared" si="14"/>
        <v>2.1</v>
      </c>
      <c r="G100" s="1322" t="s">
        <v>71</v>
      </c>
      <c r="H100" s="1312">
        <f>'ESQ. 9'!G252</f>
        <v>3</v>
      </c>
      <c r="I100" s="529" t="s">
        <v>72</v>
      </c>
      <c r="J100" s="528">
        <f t="shared" si="15"/>
        <v>5.04</v>
      </c>
    </row>
    <row r="101" spans="1:11" x14ac:dyDescent="0.2">
      <c r="A101" s="522"/>
      <c r="B101" s="1925" t="str">
        <f>'ESQ. 9'!B134</f>
        <v>P9</v>
      </c>
      <c r="C101" s="1925"/>
      <c r="D101" s="1312">
        <f>'ESQ. 9'!C253</f>
        <v>0.9</v>
      </c>
      <c r="E101" s="1327" t="s">
        <v>71</v>
      </c>
      <c r="F101" s="1312">
        <f t="shared" si="14"/>
        <v>2.1</v>
      </c>
      <c r="G101" s="1322" t="s">
        <v>71</v>
      </c>
      <c r="H101" s="1312">
        <f>'ESQ. 9'!G253</f>
        <v>2</v>
      </c>
      <c r="I101" s="529" t="s">
        <v>72</v>
      </c>
      <c r="J101" s="528">
        <f t="shared" si="15"/>
        <v>3.78</v>
      </c>
    </row>
    <row r="102" spans="1:11" x14ac:dyDescent="0.2">
      <c r="A102" s="522"/>
      <c r="B102" s="1925" t="str">
        <f>'ESQ. 9'!B135</f>
        <v>PA1</v>
      </c>
      <c r="C102" s="1925"/>
      <c r="D102" s="1312">
        <f>'ESQ. 9'!C254</f>
        <v>1.5</v>
      </c>
      <c r="E102" s="1327" t="s">
        <v>71</v>
      </c>
      <c r="F102" s="1312">
        <f>F101</f>
        <v>2.1</v>
      </c>
      <c r="G102" s="1322" t="s">
        <v>71</v>
      </c>
      <c r="H102" s="1312">
        <f>'ESQ. 9'!G254</f>
        <v>1</v>
      </c>
      <c r="I102" s="529" t="s">
        <v>72</v>
      </c>
      <c r="J102" s="528">
        <f t="shared" ref="J102" si="16">ROUND((D102*F102*H102),2)</f>
        <v>3.15</v>
      </c>
    </row>
    <row r="103" spans="1:11" x14ac:dyDescent="0.2">
      <c r="A103" s="522"/>
      <c r="B103" s="1929"/>
      <c r="C103" s="1929"/>
      <c r="D103" s="875"/>
      <c r="E103" s="875"/>
      <c r="F103" s="875"/>
      <c r="G103" s="875"/>
      <c r="H103" s="875"/>
      <c r="I103" s="706"/>
      <c r="J103" s="543"/>
    </row>
    <row r="104" spans="1:11" x14ac:dyDescent="0.2">
      <c r="A104" s="522"/>
      <c r="B104" s="1926" t="s">
        <v>340</v>
      </c>
      <c r="C104" s="1926"/>
      <c r="D104" s="1926"/>
      <c r="E104" s="1926"/>
      <c r="F104" s="1926"/>
      <c r="G104" s="1926"/>
      <c r="H104" s="1926"/>
      <c r="I104" s="529">
        <f>SUM(J93:J102)</f>
        <v>42.089999999999996</v>
      </c>
      <c r="J104" s="38"/>
      <c r="K104" s="522"/>
    </row>
    <row r="105" spans="1:11" x14ac:dyDescent="0.2">
      <c r="A105" s="522"/>
      <c r="B105" s="531"/>
      <c r="C105" s="532"/>
      <c r="D105" s="532"/>
      <c r="E105" s="533"/>
      <c r="F105" s="532"/>
      <c r="G105" s="532"/>
      <c r="H105" s="532"/>
      <c r="I105" s="532"/>
      <c r="J105" s="38"/>
      <c r="K105" s="522"/>
    </row>
    <row r="106" spans="1:11" ht="25.5" x14ac:dyDescent="0.2">
      <c r="A106" s="522"/>
      <c r="B106" s="4" t="s">
        <v>341</v>
      </c>
      <c r="C106" s="709">
        <f>I104+I90</f>
        <v>213.55</v>
      </c>
      <c r="D106" s="709" t="s">
        <v>6</v>
      </c>
      <c r="E106" s="533"/>
      <c r="F106" s="532"/>
      <c r="G106" s="532"/>
      <c r="H106" s="532"/>
      <c r="I106" s="532"/>
      <c r="J106" s="38"/>
      <c r="K106" s="522"/>
    </row>
    <row r="107" spans="1:11" ht="13.5" thickBot="1" x14ac:dyDescent="0.25">
      <c r="A107" s="345"/>
      <c r="B107" s="437"/>
      <c r="C107" s="437"/>
      <c r="D107" s="437"/>
      <c r="E107" s="437"/>
      <c r="F107" s="437"/>
      <c r="G107" s="437"/>
      <c r="H107" s="437"/>
      <c r="I107" s="437"/>
      <c r="J107" s="437"/>
      <c r="K107" s="437"/>
    </row>
    <row r="108" spans="1:11" ht="51" x14ac:dyDescent="0.2">
      <c r="A108" s="522"/>
      <c r="B108" s="534"/>
      <c r="C108" s="535" t="s">
        <v>342</v>
      </c>
      <c r="D108" s="536"/>
      <c r="E108" s="535" t="s">
        <v>343</v>
      </c>
      <c r="F108" s="536"/>
      <c r="G108" s="1927" t="s">
        <v>86</v>
      </c>
      <c r="H108" s="1928"/>
      <c r="I108" s="38"/>
      <c r="J108" s="38"/>
      <c r="K108" s="522"/>
    </row>
    <row r="109" spans="1:11" ht="26.25" thickBot="1" x14ac:dyDescent="0.25">
      <c r="A109" s="522"/>
      <c r="B109" s="537" t="s">
        <v>492</v>
      </c>
      <c r="C109" s="538">
        <f>G57</f>
        <v>1140.0700000000002</v>
      </c>
      <c r="D109" s="539" t="s">
        <v>79</v>
      </c>
      <c r="E109" s="538">
        <f>C106</f>
        <v>213.55</v>
      </c>
      <c r="F109" s="539" t="s">
        <v>72</v>
      </c>
      <c r="G109" s="540">
        <f>C109-E109</f>
        <v>926.52000000000021</v>
      </c>
      <c r="H109" s="541" t="s">
        <v>6</v>
      </c>
      <c r="I109" s="38"/>
      <c r="J109" s="38"/>
      <c r="K109" s="522"/>
    </row>
    <row r="110" spans="1:11" s="379" customFormat="1" x14ac:dyDescent="0.2">
      <c r="A110" s="542"/>
      <c r="B110" s="5"/>
      <c r="C110" s="545"/>
      <c r="D110" s="546"/>
      <c r="E110" s="545"/>
      <c r="F110" s="546"/>
      <c r="G110" s="547"/>
      <c r="H110" s="546"/>
      <c r="I110" s="544"/>
      <c r="J110" s="544"/>
      <c r="K110" s="542"/>
    </row>
    <row r="111" spans="1:11" x14ac:dyDescent="0.2">
      <c r="A111" s="436"/>
      <c r="B111" s="450"/>
      <c r="C111" s="450"/>
      <c r="D111" s="450"/>
      <c r="E111" s="450"/>
      <c r="F111" s="450"/>
      <c r="G111" s="450"/>
      <c r="H111" s="450"/>
      <c r="I111" s="450"/>
      <c r="J111" s="450"/>
      <c r="K111" s="450"/>
    </row>
    <row r="112" spans="1:11" x14ac:dyDescent="0.2">
      <c r="A112" s="420" t="str">
        <f>ORÇ!A87</f>
        <v>7.2</v>
      </c>
      <c r="B112" s="422" t="str">
        <f>ORÇ!D87</f>
        <v>Divisórias</v>
      </c>
      <c r="C112" s="32"/>
      <c r="D112" s="32"/>
      <c r="E112" s="32"/>
      <c r="F112" s="32"/>
      <c r="G112" s="32"/>
      <c r="H112" s="32"/>
      <c r="I112" s="32"/>
      <c r="J112" s="32"/>
    </row>
    <row r="113" spans="1:11" x14ac:dyDescent="0.2">
      <c r="A113" s="340"/>
      <c r="B113" s="32"/>
      <c r="C113" s="32"/>
      <c r="D113" s="32"/>
      <c r="E113" s="32"/>
      <c r="F113" s="32"/>
      <c r="G113" s="32"/>
      <c r="H113" s="32"/>
      <c r="I113" s="32"/>
      <c r="J113" s="32"/>
    </row>
    <row r="114" spans="1:11" s="379" customFormat="1" ht="27.75" customHeight="1" x14ac:dyDescent="0.2">
      <c r="A114" s="1321" t="str">
        <f>ORÇ!A88</f>
        <v>7.2.1</v>
      </c>
      <c r="B114" s="1887" t="str">
        <f>ORÇ!D88</f>
        <v>PAREDE COM PLACAS DE GESSO ACARTONADO (DRYWALL), PARA USO INTERNO, COM UMA FACE SIMPLES E ESTRUTURA METÁLICA COM GUIAS SIMPLES, SEM VÃOS. AF_06/2017_P</v>
      </c>
      <c r="C114" s="1887"/>
      <c r="D114" s="1887"/>
      <c r="E114" s="1887"/>
      <c r="F114" s="1887"/>
      <c r="G114" s="1887"/>
      <c r="H114" s="1887"/>
      <c r="I114" s="1887"/>
      <c r="J114" s="1887"/>
      <c r="K114" s="1887"/>
    </row>
    <row r="116" spans="1:11" x14ac:dyDescent="0.2">
      <c r="B116" s="1365" t="s">
        <v>1394</v>
      </c>
      <c r="C116" s="1316"/>
      <c r="D116" s="1322" t="s">
        <v>291</v>
      </c>
      <c r="E116" s="1316"/>
      <c r="F116" s="1319" t="s">
        <v>263</v>
      </c>
    </row>
    <row r="117" spans="1:11" x14ac:dyDescent="0.2">
      <c r="B117" s="577">
        <f>9.05+7.46+13.45+3.75+7.4+4.31+8.4+6+4.1+3.92+5.5+5.5+6.95+6.95+4.5+7.1+7.1+4.4+4.31+5.4+2.5+5.25+5.45+5.06+3.7+3.7+8.16+4.3+6.25+2.55+2.55+5.15+4.5+5.15+5.15+6.59+5.3+4.06+6.66+3.9+4.05+5.1+2.55+5.1+5.1+3.7+12.61+5+12.61+4.26+8.15</f>
        <v>289.71000000000004</v>
      </c>
      <c r="C117" s="530" t="s">
        <v>71</v>
      </c>
      <c r="D117" s="672">
        <v>2.8</v>
      </c>
      <c r="E117" s="530" t="s">
        <v>72</v>
      </c>
      <c r="F117" s="577">
        <f>ROUND(B117*D117,2)</f>
        <v>811.19</v>
      </c>
    </row>
    <row r="118" spans="1:11" x14ac:dyDescent="0.2">
      <c r="B118" s="443"/>
    </row>
    <row r="119" spans="1:11" x14ac:dyDescent="0.2">
      <c r="B119" s="1936" t="s">
        <v>1395</v>
      </c>
      <c r="C119" s="1937"/>
      <c r="D119" s="1938"/>
      <c r="E119" s="528">
        <f>SUM(F117:F117)</f>
        <v>811.19</v>
      </c>
      <c r="F119" s="527" t="s">
        <v>6</v>
      </c>
    </row>
    <row r="120" spans="1:11" x14ac:dyDescent="0.2">
      <c r="B120" s="443"/>
    </row>
    <row r="121" spans="1:11" ht="13.5" customHeight="1" x14ac:dyDescent="0.2">
      <c r="A121" s="522"/>
      <c r="B121" s="1940" t="s">
        <v>1397</v>
      </c>
      <c r="C121" s="1940"/>
      <c r="D121" s="1940"/>
      <c r="E121" s="1940"/>
      <c r="F121" s="1940"/>
      <c r="G121" s="1940"/>
      <c r="H121" s="1940"/>
      <c r="I121" s="1940"/>
      <c r="J121" s="1940"/>
      <c r="K121" s="522"/>
    </row>
    <row r="122" spans="1:11" ht="13.5" customHeight="1" x14ac:dyDescent="0.2">
      <c r="A122" s="522"/>
      <c r="B122" s="1925" t="s">
        <v>1391</v>
      </c>
      <c r="C122" s="1925"/>
      <c r="D122" s="1327" t="s">
        <v>225</v>
      </c>
      <c r="E122" s="1327"/>
      <c r="F122" s="1327" t="s">
        <v>291</v>
      </c>
      <c r="G122" s="1322"/>
      <c r="H122" s="1327" t="s">
        <v>250</v>
      </c>
      <c r="I122" s="1322"/>
      <c r="J122" s="1327" t="s">
        <v>263</v>
      </c>
    </row>
    <row r="123" spans="1:11" ht="13.5" customHeight="1" x14ac:dyDescent="0.2">
      <c r="A123" s="522"/>
      <c r="B123" s="1925" t="str">
        <f>'ESQ. 9'!$B$127</f>
        <v>P2</v>
      </c>
      <c r="C123" s="1925"/>
      <c r="D123" s="1312">
        <f>'ESQ. 9'!$C$246</f>
        <v>1.5</v>
      </c>
      <c r="E123" s="1327" t="s">
        <v>71</v>
      </c>
      <c r="F123" s="1312">
        <f>'ESQ. 9'!$E$206</f>
        <v>2.1</v>
      </c>
      <c r="G123" s="1322" t="s">
        <v>71</v>
      </c>
      <c r="H123" s="1312">
        <v>4</v>
      </c>
      <c r="I123" s="529" t="s">
        <v>72</v>
      </c>
      <c r="J123" s="528">
        <f>ROUND((D123*F123*H123),2)</f>
        <v>12.6</v>
      </c>
    </row>
    <row r="124" spans="1:11" ht="13.5" customHeight="1" x14ac:dyDescent="0.2">
      <c r="A124" s="522"/>
      <c r="B124" s="1925" t="str">
        <f>'ESQ. 9'!$B$129</f>
        <v>P4</v>
      </c>
      <c r="C124" s="1925"/>
      <c r="D124" s="1312">
        <f>'ESQ. 9'!$C$248</f>
        <v>1.4</v>
      </c>
      <c r="E124" s="1327" t="s">
        <v>71</v>
      </c>
      <c r="F124" s="1312">
        <f>'ESQ. 9'!$E$182</f>
        <v>2.1</v>
      </c>
      <c r="G124" s="1322" t="s">
        <v>71</v>
      </c>
      <c r="H124" s="1312">
        <v>2</v>
      </c>
      <c r="I124" s="529" t="s">
        <v>72</v>
      </c>
      <c r="J124" s="528">
        <f t="shared" ref="J124:J125" si="17">ROUND((D124*F124*H124),2)</f>
        <v>5.88</v>
      </c>
    </row>
    <row r="125" spans="1:11" x14ac:dyDescent="0.2">
      <c r="A125" s="522"/>
      <c r="B125" s="1925" t="s">
        <v>503</v>
      </c>
      <c r="C125" s="1925"/>
      <c r="D125" s="1510">
        <f>'ESQ. 9'!$C$251</f>
        <v>0.9</v>
      </c>
      <c r="E125" s="1327" t="s">
        <v>71</v>
      </c>
      <c r="F125" s="1510">
        <f>$F$98</f>
        <v>2.1</v>
      </c>
      <c r="G125" s="1511" t="s">
        <v>71</v>
      </c>
      <c r="H125" s="1510">
        <v>31</v>
      </c>
      <c r="I125" s="529" t="s">
        <v>72</v>
      </c>
      <c r="J125" s="528">
        <f t="shared" si="17"/>
        <v>58.59</v>
      </c>
    </row>
    <row r="126" spans="1:11" x14ac:dyDescent="0.2">
      <c r="A126" s="686"/>
      <c r="B126" s="1925" t="str">
        <f>'ESQ. 9'!B96</f>
        <v>V1</v>
      </c>
      <c r="C126" s="1925"/>
      <c r="D126" s="1312">
        <f>'ESQ. 9'!C96</f>
        <v>2</v>
      </c>
      <c r="E126" s="1327" t="s">
        <v>71</v>
      </c>
      <c r="F126" s="1312">
        <f>'ESQ. 9'!E96</f>
        <v>1</v>
      </c>
      <c r="G126" s="1322" t="s">
        <v>71</v>
      </c>
      <c r="H126" s="1312">
        <f>'ESQ. 9'!G96</f>
        <v>5</v>
      </c>
      <c r="I126" s="529" t="s">
        <v>72</v>
      </c>
      <c r="J126" s="528">
        <f t="shared" ref="J126" si="18">ROUND((D126*F126*H126),2)</f>
        <v>10</v>
      </c>
    </row>
    <row r="127" spans="1:11" x14ac:dyDescent="0.2">
      <c r="A127" s="1315"/>
      <c r="B127" s="1925" t="str">
        <f>'ESQ. 9'!B98</f>
        <v>V3</v>
      </c>
      <c r="C127" s="1925"/>
      <c r="D127" s="1312">
        <f>'ESQ. 9'!C98</f>
        <v>1.5</v>
      </c>
      <c r="E127" s="1327" t="s">
        <v>71</v>
      </c>
      <c r="F127" s="1312">
        <f>'ESQ. 9'!E98</f>
        <v>1</v>
      </c>
      <c r="G127" s="1322" t="s">
        <v>71</v>
      </c>
      <c r="H127" s="1312">
        <f>'ESQ. 9'!G98</f>
        <v>1</v>
      </c>
      <c r="I127" s="529" t="s">
        <v>72</v>
      </c>
      <c r="J127" s="528">
        <f t="shared" ref="J127" si="19">ROUND((D127*F127*H127),2)</f>
        <v>1.5</v>
      </c>
    </row>
    <row r="128" spans="1:11" x14ac:dyDescent="0.2">
      <c r="A128" s="522"/>
      <c r="B128" s="531"/>
      <c r="C128" s="532"/>
      <c r="D128" s="532"/>
      <c r="E128" s="533"/>
      <c r="F128" s="532"/>
      <c r="G128" s="532"/>
      <c r="H128" s="532"/>
      <c r="I128" s="532"/>
      <c r="J128" s="38"/>
      <c r="K128" s="522"/>
    </row>
    <row r="129" spans="1:11" x14ac:dyDescent="0.2">
      <c r="A129" s="522"/>
      <c r="B129" s="1926" t="s">
        <v>340</v>
      </c>
      <c r="C129" s="1926"/>
      <c r="D129" s="1926"/>
      <c r="E129" s="1926"/>
      <c r="F129" s="1926"/>
      <c r="G129" s="1926"/>
      <c r="H129" s="1926"/>
      <c r="I129" s="529">
        <f>SUM(J123:J127)</f>
        <v>88.570000000000007</v>
      </c>
      <c r="J129" s="38"/>
      <c r="K129" s="522"/>
    </row>
    <row r="130" spans="1:11" ht="13.5" thickBot="1" x14ac:dyDescent="0.25">
      <c r="B130" s="559"/>
    </row>
    <row r="131" spans="1:11" ht="51" x14ac:dyDescent="0.2">
      <c r="B131" s="534"/>
      <c r="C131" s="535" t="s">
        <v>520</v>
      </c>
      <c r="D131" s="564"/>
      <c r="E131" s="535" t="s">
        <v>343</v>
      </c>
      <c r="F131" s="564"/>
      <c r="G131" s="1927" t="s">
        <v>86</v>
      </c>
      <c r="H131" s="1928"/>
    </row>
    <row r="132" spans="1:11" ht="13.5" thickBot="1" x14ac:dyDescent="0.25">
      <c r="B132" s="537" t="s">
        <v>345</v>
      </c>
      <c r="C132" s="538">
        <f>E119</f>
        <v>811.19</v>
      </c>
      <c r="D132" s="539" t="s">
        <v>79</v>
      </c>
      <c r="E132" s="538">
        <f>I129</f>
        <v>88.570000000000007</v>
      </c>
      <c r="F132" s="539" t="s">
        <v>72</v>
      </c>
      <c r="G132" s="540">
        <f>ROUND(C132-E132,2)</f>
        <v>722.62</v>
      </c>
      <c r="H132" s="541" t="s">
        <v>6</v>
      </c>
    </row>
    <row r="133" spans="1:11" x14ac:dyDescent="0.2">
      <c r="B133" s="559"/>
    </row>
    <row r="134" spans="1:11" x14ac:dyDescent="0.2">
      <c r="A134" s="1321" t="str">
        <f>ORÇ!A89</f>
        <v>7.2.2</v>
      </c>
      <c r="B134" s="1887" t="str">
        <f>ORÇ!D89</f>
        <v>Vidro temperado incolor e= 8mm com ferragens</v>
      </c>
      <c r="C134" s="1887"/>
      <c r="D134" s="1887"/>
      <c r="E134" s="1887"/>
      <c r="F134" s="1887"/>
      <c r="G134" s="1887"/>
      <c r="H134" s="1887"/>
      <c r="I134" s="1887"/>
      <c r="J134" s="1887"/>
      <c r="K134" s="1887"/>
    </row>
    <row r="136" spans="1:11" x14ac:dyDescent="0.2">
      <c r="B136" s="1315" t="s">
        <v>290</v>
      </c>
      <c r="C136" s="1315" t="s">
        <v>87</v>
      </c>
      <c r="D136" s="1320"/>
      <c r="E136" s="714" t="s">
        <v>291</v>
      </c>
      <c r="F136" s="1320"/>
      <c r="G136" s="1315" t="s">
        <v>263</v>
      </c>
    </row>
    <row r="137" spans="1:11" x14ac:dyDescent="0.2">
      <c r="B137" s="488" t="s">
        <v>298</v>
      </c>
      <c r="C137" s="339">
        <v>5.15</v>
      </c>
      <c r="D137" s="484" t="s">
        <v>71</v>
      </c>
      <c r="E137" s="495">
        <v>2.8</v>
      </c>
      <c r="F137" s="484" t="s">
        <v>72</v>
      </c>
      <c r="G137" s="339">
        <f>ROUND(C137*E137,2)</f>
        <v>14.42</v>
      </c>
    </row>
    <row r="140" spans="1:11" x14ac:dyDescent="0.2">
      <c r="B140" s="1923"/>
      <c r="C140" s="1923"/>
      <c r="D140" s="711" t="s">
        <v>225</v>
      </c>
      <c r="E140" s="711"/>
      <c r="F140" s="711" t="s">
        <v>291</v>
      </c>
      <c r="G140" s="1331"/>
      <c r="H140" s="704" t="s">
        <v>250</v>
      </c>
      <c r="I140" s="1331"/>
      <c r="J140" s="711" t="s">
        <v>263</v>
      </c>
    </row>
    <row r="141" spans="1:11" x14ac:dyDescent="0.2">
      <c r="B141" s="1929" t="s">
        <v>1373</v>
      </c>
      <c r="C141" s="1929"/>
      <c r="D141" s="715">
        <v>0.9</v>
      </c>
      <c r="E141" s="715" t="s">
        <v>71</v>
      </c>
      <c r="F141" s="715">
        <v>2.1</v>
      </c>
      <c r="G141" s="715" t="s">
        <v>71</v>
      </c>
      <c r="H141" s="715">
        <v>1</v>
      </c>
      <c r="I141" s="1315" t="s">
        <v>72</v>
      </c>
      <c r="J141" s="532">
        <f>ROUND(D141*F141*H141,2)</f>
        <v>1.89</v>
      </c>
    </row>
    <row r="142" spans="1:11" x14ac:dyDescent="0.2">
      <c r="B142" s="1318"/>
      <c r="C142" s="1318"/>
      <c r="D142" s="715"/>
      <c r="E142" s="715"/>
      <c r="F142" s="715"/>
      <c r="G142" s="715"/>
      <c r="H142" s="715"/>
      <c r="I142" s="1315"/>
      <c r="J142" s="532"/>
    </row>
    <row r="143" spans="1:11" x14ac:dyDescent="0.2">
      <c r="B143" s="1926" t="s">
        <v>340</v>
      </c>
      <c r="C143" s="1926"/>
      <c r="D143" s="1926"/>
      <c r="E143" s="1926"/>
      <c r="F143" s="1926"/>
      <c r="G143" s="1926"/>
      <c r="H143" s="1926"/>
      <c r="I143" s="529">
        <f>SUM(J141:J141)</f>
        <v>1.89</v>
      </c>
      <c r="J143" s="38"/>
    </row>
    <row r="144" spans="1:11" ht="13.5" thickBot="1" x14ac:dyDescent="0.25">
      <c r="B144" s="1315"/>
    </row>
    <row r="145" spans="2:8" ht="51" x14ac:dyDescent="0.2">
      <c r="B145" s="534"/>
      <c r="C145" s="535" t="s">
        <v>520</v>
      </c>
      <c r="D145" s="1323"/>
      <c r="E145" s="535" t="s">
        <v>343</v>
      </c>
      <c r="F145" s="1323"/>
      <c r="G145" s="1927" t="s">
        <v>86</v>
      </c>
      <c r="H145" s="1928"/>
    </row>
    <row r="146" spans="2:8" ht="13.5" thickBot="1" x14ac:dyDescent="0.25">
      <c r="B146" s="537" t="s">
        <v>345</v>
      </c>
      <c r="C146" s="538">
        <f>G137</f>
        <v>14.42</v>
      </c>
      <c r="D146" s="539" t="s">
        <v>79</v>
      </c>
      <c r="E146" s="538">
        <f>I143</f>
        <v>1.89</v>
      </c>
      <c r="F146" s="539" t="s">
        <v>72</v>
      </c>
      <c r="G146" s="540">
        <f>C146-E146</f>
        <v>12.53</v>
      </c>
      <c r="H146" s="541" t="s">
        <v>6</v>
      </c>
    </row>
  </sheetData>
  <mergeCells count="79">
    <mergeCell ref="G145:H145"/>
    <mergeCell ref="B25:B26"/>
    <mergeCell ref="B140:C140"/>
    <mergeCell ref="B141:C141"/>
    <mergeCell ref="B129:H129"/>
    <mergeCell ref="B69:C69"/>
    <mergeCell ref="G131:H131"/>
    <mergeCell ref="B121:J121"/>
    <mergeCell ref="B122:C122"/>
    <mergeCell ref="B114:K114"/>
    <mergeCell ref="B134:K134"/>
    <mergeCell ref="B92:J92"/>
    <mergeCell ref="B93:C93"/>
    <mergeCell ref="B67:C67"/>
    <mergeCell ref="B125:C125"/>
    <mergeCell ref="B126:C126"/>
    <mergeCell ref="A10:K10"/>
    <mergeCell ref="A11:K11"/>
    <mergeCell ref="B15:K15"/>
    <mergeCell ref="B70:C70"/>
    <mergeCell ref="B143:H143"/>
    <mergeCell ref="B127:C127"/>
    <mergeCell ref="B94:C94"/>
    <mergeCell ref="B19:B20"/>
    <mergeCell ref="B75:C76"/>
    <mergeCell ref="B77:C78"/>
    <mergeCell ref="B79:C79"/>
    <mergeCell ref="B84:C84"/>
    <mergeCell ref="B33:B34"/>
    <mergeCell ref="B119:D119"/>
    <mergeCell ref="B74:C74"/>
    <mergeCell ref="B85:C85"/>
    <mergeCell ref="B97:C97"/>
    <mergeCell ref="B4:K4"/>
    <mergeCell ref="B5:D5"/>
    <mergeCell ref="E5:F6"/>
    <mergeCell ref="G5:K6"/>
    <mergeCell ref="B71:C71"/>
    <mergeCell ref="B72:C72"/>
    <mergeCell ref="B68:C68"/>
    <mergeCell ref="A9:K9"/>
    <mergeCell ref="B59:J59"/>
    <mergeCell ref="B60:C60"/>
    <mergeCell ref="B61:C61"/>
    <mergeCell ref="B90:H90"/>
    <mergeCell ref="B86:C86"/>
    <mergeCell ref="B62:C62"/>
    <mergeCell ref="B63:C63"/>
    <mergeCell ref="A6:A7"/>
    <mergeCell ref="B6:D7"/>
    <mergeCell ref="E7:F7"/>
    <mergeCell ref="G7:K7"/>
    <mergeCell ref="A1:K1"/>
    <mergeCell ref="B2:F2"/>
    <mergeCell ref="G2:H2"/>
    <mergeCell ref="I2:K2"/>
    <mergeCell ref="B3:K3"/>
    <mergeCell ref="B17:C17"/>
    <mergeCell ref="B57:F57"/>
    <mergeCell ref="B95:C95"/>
    <mergeCell ref="B96:C96"/>
    <mergeCell ref="B87:C87"/>
    <mergeCell ref="B73:C73"/>
    <mergeCell ref="B64:C64"/>
    <mergeCell ref="B65:C65"/>
    <mergeCell ref="B66:C66"/>
    <mergeCell ref="B88:C88"/>
    <mergeCell ref="B80:C81"/>
    <mergeCell ref="B82:C83"/>
    <mergeCell ref="B124:C124"/>
    <mergeCell ref="B98:C98"/>
    <mergeCell ref="B99:C99"/>
    <mergeCell ref="B100:C100"/>
    <mergeCell ref="B104:H104"/>
    <mergeCell ref="G108:H108"/>
    <mergeCell ref="B101:C101"/>
    <mergeCell ref="B102:C102"/>
    <mergeCell ref="B123:C123"/>
    <mergeCell ref="B103:C103"/>
  </mergeCells>
  <pageMargins left="0.511811024" right="0.511811024" top="0.78740157499999996" bottom="0.78740157499999996" header="0.31496062000000002" footer="0.31496062000000002"/>
  <pageSetup paperSize="9" scale="69" fitToHeight="0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"/>
  <sheetViews>
    <sheetView view="pageBreakPreview" topLeftCell="A61" zoomScale="70" zoomScaleNormal="100" zoomScaleSheetLayoutView="70" workbookViewId="0">
      <selection activeCell="I76" sqref="I76"/>
    </sheetView>
  </sheetViews>
  <sheetFormatPr defaultRowHeight="12.75" x14ac:dyDescent="0.2"/>
  <cols>
    <col min="1" max="1" width="14.85546875" customWidth="1"/>
    <col min="2" max="2" width="20" customWidth="1"/>
    <col min="3" max="3" width="15.28515625" customWidth="1"/>
    <col min="4" max="4" width="12.140625" customWidth="1"/>
    <col min="5" max="5" width="14" customWidth="1"/>
    <col min="6" max="6" width="15" customWidth="1"/>
    <col min="7" max="7" width="12.28515625" customWidth="1"/>
    <col min="8" max="8" width="10.140625" customWidth="1"/>
    <col min="9" max="9" width="11.85546875" customWidth="1"/>
  </cols>
  <sheetData>
    <row r="1" spans="1:11" ht="69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1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1" ht="15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1" ht="15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1" ht="15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1" x14ac:dyDescent="0.2">
      <c r="A6" s="1694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1" ht="27" customHeight="1" x14ac:dyDescent="0.2">
      <c r="A7" s="1695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1" ht="13.5" thickBot="1" x14ac:dyDescent="0.25">
      <c r="A8" s="21"/>
      <c r="B8" s="22"/>
      <c r="C8" s="22"/>
      <c r="D8" s="22"/>
      <c r="E8" s="22"/>
      <c r="F8" s="22"/>
      <c r="G8" s="22"/>
      <c r="H8" s="22"/>
      <c r="I8" s="22"/>
      <c r="J8" s="22"/>
    </row>
    <row r="9" spans="1:11" ht="13.5" thickBot="1" x14ac:dyDescent="0.25">
      <c r="A9" s="1865" t="s">
        <v>89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11" ht="13.5" thickBot="1" x14ac:dyDescent="0.25">
      <c r="A11" s="1865" t="str">
        <f>ORÇ!D92</f>
        <v>Revestimento de Paredes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11" x14ac:dyDescent="0.2">
      <c r="A12" s="21"/>
      <c r="B12" s="22"/>
      <c r="C12" s="22"/>
      <c r="D12" s="22"/>
      <c r="E12" s="22"/>
      <c r="F12" s="22"/>
      <c r="G12" s="22"/>
      <c r="H12" s="22"/>
      <c r="I12" s="22"/>
      <c r="J12" s="22"/>
    </row>
    <row r="13" spans="1:11" x14ac:dyDescent="0.2">
      <c r="A13" s="447">
        <f>ORÇ!A92</f>
        <v>8</v>
      </c>
      <c r="B13" s="46" t="str">
        <f>ORÇ!D92</f>
        <v>Revestimento de Paredes</v>
      </c>
      <c r="C13" s="24"/>
      <c r="D13" s="24"/>
      <c r="E13" s="24"/>
      <c r="F13" s="24"/>
      <c r="G13" s="24"/>
      <c r="H13" s="24"/>
      <c r="I13" s="24"/>
      <c r="J13" s="24"/>
    </row>
    <row r="14" spans="1:11" x14ac:dyDescent="0.2">
      <c r="A14" s="447"/>
      <c r="B14" s="436"/>
      <c r="C14" s="420"/>
      <c r="D14" s="420"/>
      <c r="E14" s="420"/>
      <c r="F14" s="420"/>
      <c r="G14" s="420"/>
      <c r="H14" s="420"/>
      <c r="I14" s="420"/>
      <c r="J14" s="420"/>
    </row>
    <row r="15" spans="1:11" x14ac:dyDescent="0.2">
      <c r="A15" s="1941" t="str">
        <f>ORÇ!A93</f>
        <v>8.1</v>
      </c>
      <c r="B15" s="1887" t="str">
        <f>ORÇ!D93</f>
        <v>CHAPISCO APLICADO EM ALVENARIAS E ESTRUTURAS DE CONCRETO INTERNAS, COM COLHER DE PEDREIRO. ARGAMASSA TRAÇO 1:3 COM PREPARO MANUAL. AF_06/2014</v>
      </c>
      <c r="C15" s="1887"/>
      <c r="D15" s="1887"/>
      <c r="E15" s="1887"/>
      <c r="F15" s="1887"/>
      <c r="G15" s="1887"/>
      <c r="H15" s="1887"/>
      <c r="I15" s="1887"/>
      <c r="J15" s="1887"/>
      <c r="K15" s="1887"/>
    </row>
    <row r="16" spans="1:11" x14ac:dyDescent="0.2">
      <c r="A16" s="1941"/>
      <c r="B16" s="1887"/>
      <c r="C16" s="1887"/>
      <c r="D16" s="1887"/>
      <c r="E16" s="1887"/>
      <c r="F16" s="1887"/>
      <c r="G16" s="1887"/>
      <c r="H16" s="1887"/>
      <c r="I16" s="1887"/>
      <c r="J16" s="1887"/>
      <c r="K16" s="1887"/>
    </row>
    <row r="17" spans="1:11" ht="13.5" thickBot="1" x14ac:dyDescent="0.25">
      <c r="A17" s="345"/>
      <c r="B17" s="437"/>
      <c r="C17" s="437"/>
      <c r="D17" s="437"/>
      <c r="E17" s="437"/>
      <c r="F17" s="437"/>
      <c r="G17" s="437"/>
      <c r="H17" s="437"/>
      <c r="I17" s="437"/>
      <c r="J17" s="437"/>
      <c r="K17" s="437"/>
    </row>
    <row r="18" spans="1:11" ht="12.75" customHeight="1" thickBot="1" x14ac:dyDescent="0.25">
      <c r="A18" s="345"/>
      <c r="B18" s="1888" t="s">
        <v>1396</v>
      </c>
      <c r="C18" s="1955"/>
      <c r="D18" s="1955"/>
      <c r="E18" s="1955"/>
      <c r="F18" s="1955"/>
      <c r="G18" s="1889"/>
      <c r="H18" s="437"/>
      <c r="I18" s="437"/>
      <c r="J18" s="437"/>
      <c r="K18" s="437"/>
    </row>
    <row r="19" spans="1:11" x14ac:dyDescent="0.2">
      <c r="A19" s="345"/>
      <c r="B19" s="1314" t="s">
        <v>290</v>
      </c>
      <c r="C19" s="1314" t="s">
        <v>87</v>
      </c>
      <c r="D19" s="1330"/>
      <c r="E19" s="1314" t="s">
        <v>291</v>
      </c>
      <c r="F19" s="1330"/>
      <c r="G19" s="1314" t="s">
        <v>263</v>
      </c>
    </row>
    <row r="20" spans="1:11" x14ac:dyDescent="0.2">
      <c r="A20" s="678"/>
      <c r="B20" s="1934" t="str">
        <f>'PAR. 7'!B19</f>
        <v>Recepção 02</v>
      </c>
      <c r="C20" s="1312">
        <f>'PAR. 7'!C19</f>
        <v>14.799999999999999</v>
      </c>
      <c r="D20" s="1312" t="str">
        <f>'PAR. 7'!D19</f>
        <v>x</v>
      </c>
      <c r="E20" s="1312">
        <f>'PAR. 7'!E19</f>
        <v>6.5</v>
      </c>
      <c r="F20" s="1312" t="s">
        <v>72</v>
      </c>
      <c r="G20" s="1312">
        <f t="shared" ref="G20" si="0">ROUND(C20*E20,2)</f>
        <v>96.2</v>
      </c>
    </row>
    <row r="21" spans="1:11" x14ac:dyDescent="0.2">
      <c r="A21" s="1321"/>
      <c r="B21" s="1935"/>
      <c r="C21" s="1312">
        <f>'PAR. 7'!C20</f>
        <v>15.25</v>
      </c>
      <c r="D21" s="1312" t="str">
        <f>'PAR. 7'!D20</f>
        <v>x</v>
      </c>
      <c r="E21" s="1312">
        <f>'PAR. 7'!E20</f>
        <v>2.9</v>
      </c>
      <c r="F21" s="1312" t="s">
        <v>72</v>
      </c>
      <c r="G21" s="1312">
        <f t="shared" ref="G21" si="1">ROUND(C21*E21,2)</f>
        <v>44.23</v>
      </c>
    </row>
    <row r="22" spans="1:11" ht="38.25" x14ac:dyDescent="0.2">
      <c r="A22" s="678"/>
      <c r="B22" s="1312" t="str">
        <f>'PAR. 7'!B21</f>
        <v>Secretário + Eng e  Atendimento - Meio Ambiente</v>
      </c>
      <c r="C22" s="1312">
        <f>'PAR. 7'!C21</f>
        <v>9.07</v>
      </c>
      <c r="D22" s="1312" t="str">
        <f>'PAR. 7'!D21</f>
        <v>x</v>
      </c>
      <c r="E22" s="1312">
        <f>'PAR. 7'!E21</f>
        <v>2.8</v>
      </c>
      <c r="F22" s="1312" t="s">
        <v>72</v>
      </c>
      <c r="G22" s="1312">
        <f t="shared" ref="G22:G56" si="2">ROUND(C22*E22,2)</f>
        <v>25.4</v>
      </c>
    </row>
    <row r="23" spans="1:11" ht="25.5" x14ac:dyDescent="0.2">
      <c r="A23" s="678"/>
      <c r="B23" s="1312" t="str">
        <f>'PAR. 7'!B22</f>
        <v>Secretário de Esporte e Lazer</v>
      </c>
      <c r="C23" s="1312">
        <f>'PAR. 7'!C22</f>
        <v>6.43</v>
      </c>
      <c r="D23" s="1312" t="str">
        <f>'PAR. 7'!D22</f>
        <v>x</v>
      </c>
      <c r="E23" s="1312">
        <f>'PAR. 7'!E22</f>
        <v>2.8</v>
      </c>
      <c r="F23" s="1312" t="s">
        <v>72</v>
      </c>
      <c r="G23" s="1312">
        <f t="shared" si="2"/>
        <v>18</v>
      </c>
    </row>
    <row r="24" spans="1:11" ht="25.5" x14ac:dyDescent="0.2">
      <c r="A24" s="678"/>
      <c r="B24" s="1312" t="str">
        <f>'PAR. 7'!B23</f>
        <v>Setor Jurídico e Recursos Humanos</v>
      </c>
      <c r="C24" s="1312">
        <f>'PAR. 7'!C23</f>
        <v>15.92</v>
      </c>
      <c r="D24" s="1312" t="str">
        <f>'PAR. 7'!D23</f>
        <v>x</v>
      </c>
      <c r="E24" s="1312">
        <f>'PAR. 7'!E23</f>
        <v>2.8</v>
      </c>
      <c r="F24" s="1312" t="s">
        <v>72</v>
      </c>
      <c r="G24" s="1312">
        <f t="shared" si="2"/>
        <v>44.58</v>
      </c>
    </row>
    <row r="25" spans="1:11" x14ac:dyDescent="0.2">
      <c r="A25" s="678"/>
      <c r="B25" s="1312" t="str">
        <f>'PAR. 7'!B24</f>
        <v>Arquivo</v>
      </c>
      <c r="C25" s="1312">
        <f>'PAR. 7'!C24</f>
        <v>2.4500000000000002</v>
      </c>
      <c r="D25" s="1312" t="str">
        <f>'PAR. 7'!D24</f>
        <v>x</v>
      </c>
      <c r="E25" s="1312">
        <f>'PAR. 7'!E24</f>
        <v>2.8</v>
      </c>
      <c r="F25" s="1312" t="s">
        <v>72</v>
      </c>
      <c r="G25" s="1312">
        <f t="shared" si="2"/>
        <v>6.86</v>
      </c>
    </row>
    <row r="26" spans="1:11" x14ac:dyDescent="0.2">
      <c r="A26" s="970"/>
      <c r="B26" s="1934" t="str">
        <f>'PAR. 7'!B25</f>
        <v>Área de Serviço</v>
      </c>
      <c r="C26" s="1312">
        <f>'PAR. 7'!C25</f>
        <v>11.15</v>
      </c>
      <c r="D26" s="1312" t="str">
        <f>'PAR. 7'!D25</f>
        <v>x</v>
      </c>
      <c r="E26" s="1312">
        <f>'PAR. 7'!E25</f>
        <v>2.8</v>
      </c>
      <c r="F26" s="1312" t="s">
        <v>72</v>
      </c>
      <c r="G26" s="1312">
        <f t="shared" si="2"/>
        <v>31.22</v>
      </c>
    </row>
    <row r="27" spans="1:11" x14ac:dyDescent="0.2">
      <c r="A27" s="678"/>
      <c r="B27" s="1935"/>
      <c r="C27" s="1312">
        <f>'PAR. 7'!C26</f>
        <v>5.15</v>
      </c>
      <c r="D27" s="1312" t="str">
        <f>'PAR. 7'!D26</f>
        <v>x</v>
      </c>
      <c r="E27" s="1312">
        <f>'PAR. 7'!E26</f>
        <v>1.5</v>
      </c>
      <c r="F27" s="1312" t="s">
        <v>72</v>
      </c>
      <c r="G27" s="1312">
        <f t="shared" si="2"/>
        <v>7.73</v>
      </c>
    </row>
    <row r="28" spans="1:11" x14ac:dyDescent="0.2">
      <c r="A28" s="678"/>
      <c r="B28" s="1312" t="str">
        <f>'PAR. 7'!B27</f>
        <v>W.C. Masc e Fem. 02</v>
      </c>
      <c r="C28" s="1312">
        <f>'PAR. 7'!C27</f>
        <v>12.45</v>
      </c>
      <c r="D28" s="1312" t="str">
        <f>'PAR. 7'!D27</f>
        <v>x</v>
      </c>
      <c r="E28" s="1312">
        <f>'PAR. 7'!E27</f>
        <v>2.8</v>
      </c>
      <c r="F28" s="1312" t="s">
        <v>72</v>
      </c>
      <c r="G28" s="1312">
        <f t="shared" si="2"/>
        <v>34.86</v>
      </c>
    </row>
    <row r="29" spans="1:11" x14ac:dyDescent="0.2">
      <c r="A29" s="970"/>
      <c r="B29" s="1312" t="str">
        <f>'PAR. 7'!B28</f>
        <v>Cozinha</v>
      </c>
      <c r="C29" s="1312">
        <f>'PAR. 7'!C28</f>
        <v>21.52</v>
      </c>
      <c r="D29" s="1312" t="str">
        <f>'PAR. 7'!D28</f>
        <v>x</v>
      </c>
      <c r="E29" s="1312">
        <f>'PAR. 7'!E28</f>
        <v>2.8</v>
      </c>
      <c r="F29" s="1312" t="s">
        <v>72</v>
      </c>
      <c r="G29" s="1312">
        <f t="shared" si="2"/>
        <v>60.26</v>
      </c>
    </row>
    <row r="30" spans="1:11" ht="25.5" x14ac:dyDescent="0.2">
      <c r="A30" s="678"/>
      <c r="B30" s="1312" t="str">
        <f>'PAR. 7'!B29</f>
        <v>WC. PCD Fem. e WC. Fem. 01</v>
      </c>
      <c r="C30" s="1312">
        <f>'PAR. 7'!C29</f>
        <v>29.409999999999997</v>
      </c>
      <c r="D30" s="1312" t="str">
        <f>'PAR. 7'!D29</f>
        <v>x</v>
      </c>
      <c r="E30" s="1312">
        <f>'PAR. 7'!E29</f>
        <v>2.8</v>
      </c>
      <c r="F30" s="1312" t="s">
        <v>72</v>
      </c>
      <c r="G30" s="1312">
        <f t="shared" si="2"/>
        <v>82.35</v>
      </c>
    </row>
    <row r="31" spans="1:11" x14ac:dyDescent="0.2">
      <c r="A31" s="678"/>
      <c r="B31" s="1312" t="str">
        <f>'PAR. 7'!B30</f>
        <v>Hall</v>
      </c>
      <c r="C31" s="1312">
        <f>'PAR. 7'!C30</f>
        <v>2.5</v>
      </c>
      <c r="D31" s="1312" t="str">
        <f>'PAR. 7'!D30</f>
        <v>x</v>
      </c>
      <c r="E31" s="1312">
        <f>'PAR. 7'!E30</f>
        <v>2.8</v>
      </c>
      <c r="F31" s="1312" t="s">
        <v>72</v>
      </c>
      <c r="G31" s="1312">
        <f t="shared" si="2"/>
        <v>7</v>
      </c>
    </row>
    <row r="32" spans="1:11" ht="25.5" x14ac:dyDescent="0.2">
      <c r="A32" s="678"/>
      <c r="B32" s="1312" t="str">
        <f>'PAR. 7'!B31</f>
        <v>WC. PCD Masc. e WC. Masc. 01</v>
      </c>
      <c r="C32" s="1312">
        <f>'PAR. 7'!C31</f>
        <v>27.61</v>
      </c>
      <c r="D32" s="1312" t="str">
        <f>'PAR. 7'!D31</f>
        <v>x</v>
      </c>
      <c r="E32" s="1312">
        <f>'PAR. 7'!E31</f>
        <v>2.8</v>
      </c>
      <c r="F32" s="1312" t="s">
        <v>72</v>
      </c>
      <c r="G32" s="1312">
        <f t="shared" si="2"/>
        <v>77.31</v>
      </c>
    </row>
    <row r="33" spans="1:7" x14ac:dyDescent="0.2">
      <c r="A33" s="678"/>
      <c r="B33" s="1312" t="str">
        <f>'PAR. 7'!B32</f>
        <v>Junta Militar</v>
      </c>
      <c r="C33" s="1312">
        <f>'PAR. 7'!C32</f>
        <v>8.43</v>
      </c>
      <c r="D33" s="1312" t="str">
        <f>'PAR. 7'!D32</f>
        <v>x</v>
      </c>
      <c r="E33" s="1312">
        <f>'PAR. 7'!E32</f>
        <v>2.8</v>
      </c>
      <c r="F33" s="1312" t="s">
        <v>72</v>
      </c>
      <c r="G33" s="1312">
        <f t="shared" si="2"/>
        <v>23.6</v>
      </c>
    </row>
    <row r="34" spans="1:7" x14ac:dyDescent="0.2">
      <c r="A34" s="678"/>
      <c r="B34" s="1934" t="str">
        <f>'PAR. 7'!B33</f>
        <v>Recepção 01</v>
      </c>
      <c r="C34" s="1312">
        <f>'PAR. 7'!C33</f>
        <v>13.7</v>
      </c>
      <c r="D34" s="1312" t="str">
        <f>'PAR. 7'!D33</f>
        <v>x</v>
      </c>
      <c r="E34" s="1312">
        <f>'PAR. 7'!E33</f>
        <v>5.8</v>
      </c>
      <c r="F34" s="1312" t="s">
        <v>72</v>
      </c>
      <c r="G34" s="1312">
        <f t="shared" si="2"/>
        <v>79.459999999999994</v>
      </c>
    </row>
    <row r="35" spans="1:7" x14ac:dyDescent="0.2">
      <c r="A35" s="1321"/>
      <c r="B35" s="1935"/>
      <c r="C35" s="1312">
        <f>'PAR. 7'!C34</f>
        <v>23.9</v>
      </c>
      <c r="D35" s="1312" t="str">
        <f>'PAR. 7'!D34</f>
        <v>x</v>
      </c>
      <c r="E35" s="1312">
        <f>'PAR. 7'!E34</f>
        <v>2.9</v>
      </c>
      <c r="F35" s="1312" t="s">
        <v>72</v>
      </c>
      <c r="G35" s="1312">
        <f t="shared" ref="G35" si="3">ROUND(C35*E35,2)</f>
        <v>69.31</v>
      </c>
    </row>
    <row r="36" spans="1:7" ht="38.25" x14ac:dyDescent="0.2">
      <c r="A36" s="678"/>
      <c r="B36" s="1312" t="str">
        <f>'PAR. 7'!B35</f>
        <v>Secretaria de Finanças e Sala de Contabilidade</v>
      </c>
      <c r="C36" s="1312">
        <f>'PAR. 7'!C35</f>
        <v>7.1499999999999995</v>
      </c>
      <c r="D36" s="1312" t="str">
        <f>'PAR. 7'!D35</f>
        <v>x</v>
      </c>
      <c r="E36" s="1312">
        <f>'PAR. 7'!E35</f>
        <v>2.8</v>
      </c>
      <c r="F36" s="1312" t="s">
        <v>72</v>
      </c>
      <c r="G36" s="1312">
        <f t="shared" si="2"/>
        <v>20.02</v>
      </c>
    </row>
    <row r="37" spans="1:7" x14ac:dyDescent="0.2">
      <c r="A37" s="678"/>
      <c r="B37" s="1312" t="str">
        <f>'PAR. 7'!B36</f>
        <v>Controle Interno</v>
      </c>
      <c r="C37" s="1312">
        <f>'PAR. 7'!C36</f>
        <v>3.56</v>
      </c>
      <c r="D37" s="1312" t="str">
        <f>'PAR. 7'!D36</f>
        <v>x</v>
      </c>
      <c r="E37" s="1312">
        <f>'PAR. 7'!E36</f>
        <v>2.8</v>
      </c>
      <c r="F37" s="1312" t="s">
        <v>72</v>
      </c>
      <c r="G37" s="1312">
        <f t="shared" si="2"/>
        <v>9.9700000000000006</v>
      </c>
    </row>
    <row r="38" spans="1:7" ht="38.25" x14ac:dyDescent="0.2">
      <c r="A38" s="678"/>
      <c r="B38" s="1312" t="str">
        <f>'PAR. 7'!B37</f>
        <v>Sala de Operação / Licitação - Setor de Convênios</v>
      </c>
      <c r="C38" s="1312">
        <f>'PAR. 7'!C37</f>
        <v>3.44</v>
      </c>
      <c r="D38" s="1312" t="str">
        <f>'PAR. 7'!D37</f>
        <v>x</v>
      </c>
      <c r="E38" s="1312">
        <f>'PAR. 7'!E37</f>
        <v>2.8</v>
      </c>
      <c r="F38" s="1312" t="s">
        <v>72</v>
      </c>
      <c r="G38" s="1312">
        <f t="shared" si="2"/>
        <v>9.6300000000000008</v>
      </c>
    </row>
    <row r="39" spans="1:7" x14ac:dyDescent="0.2">
      <c r="A39" s="678"/>
      <c r="B39" s="1312" t="str">
        <f>'PAR. 7'!B38</f>
        <v>Vice-Prefeito</v>
      </c>
      <c r="C39" s="1312">
        <f>'PAR. 7'!C38</f>
        <v>3.6</v>
      </c>
      <c r="D39" s="1312" t="str">
        <f>'PAR. 7'!D38</f>
        <v>x</v>
      </c>
      <c r="E39" s="1312">
        <f>'PAR. 7'!E38</f>
        <v>2.8</v>
      </c>
      <c r="F39" s="1312" t="s">
        <v>72</v>
      </c>
      <c r="G39" s="1312">
        <f t="shared" si="2"/>
        <v>10.08</v>
      </c>
    </row>
    <row r="40" spans="1:7" x14ac:dyDescent="0.2">
      <c r="A40" s="823"/>
      <c r="B40" s="1312" t="str">
        <f>'PAR. 7'!B39</f>
        <v>Chefe de Gabinete</v>
      </c>
      <c r="C40" s="1312">
        <f>'PAR. 7'!C39</f>
        <v>4.5999999999999996</v>
      </c>
      <c r="D40" s="1312" t="str">
        <f>'PAR. 7'!D39</f>
        <v>x</v>
      </c>
      <c r="E40" s="1312">
        <f>'PAR. 7'!E39</f>
        <v>2.8</v>
      </c>
      <c r="F40" s="1312" t="s">
        <v>72</v>
      </c>
      <c r="G40" s="1312">
        <f t="shared" si="2"/>
        <v>12.88</v>
      </c>
    </row>
    <row r="41" spans="1:7" x14ac:dyDescent="0.2">
      <c r="A41" s="823"/>
      <c r="B41" s="1312" t="str">
        <f>'PAR. 7'!B40</f>
        <v>Sala de Comunicação</v>
      </c>
      <c r="C41" s="1312">
        <f>'PAR. 7'!C40</f>
        <v>12.549999999999999</v>
      </c>
      <c r="D41" s="1312" t="str">
        <f>'PAR. 7'!D40</f>
        <v>x</v>
      </c>
      <c r="E41" s="1312">
        <f>'PAR. 7'!E40</f>
        <v>2.8</v>
      </c>
      <c r="F41" s="1312" t="s">
        <v>72</v>
      </c>
      <c r="G41" s="1312">
        <f t="shared" si="2"/>
        <v>35.14</v>
      </c>
    </row>
    <row r="42" spans="1:7" x14ac:dyDescent="0.2">
      <c r="A42" s="823"/>
      <c r="B42" s="1312" t="str">
        <f>'PAR. 7'!B41</f>
        <v>Gabinete Prefeita</v>
      </c>
      <c r="C42" s="1312">
        <f>'PAR. 7'!C41</f>
        <v>11.5</v>
      </c>
      <c r="D42" s="1312" t="str">
        <f>'PAR. 7'!D41</f>
        <v>x</v>
      </c>
      <c r="E42" s="1312">
        <f>'PAR. 7'!E41</f>
        <v>2.8</v>
      </c>
      <c r="F42" s="1312" t="s">
        <v>72</v>
      </c>
      <c r="G42" s="1312">
        <f t="shared" si="2"/>
        <v>32.200000000000003</v>
      </c>
    </row>
    <row r="43" spans="1:7" x14ac:dyDescent="0.2">
      <c r="A43" s="823"/>
      <c r="B43" s="1312" t="str">
        <f>'PAR. 7'!B42</f>
        <v>Banheiro 01</v>
      </c>
      <c r="C43" s="1312">
        <f>'PAR. 7'!C42</f>
        <v>9.75</v>
      </c>
      <c r="D43" s="1312" t="str">
        <f>'PAR. 7'!D42</f>
        <v>x</v>
      </c>
      <c r="E43" s="1312">
        <f>'PAR. 7'!E42</f>
        <v>2.8</v>
      </c>
      <c r="F43" s="1312" t="s">
        <v>72</v>
      </c>
      <c r="G43" s="1312">
        <f t="shared" si="2"/>
        <v>27.3</v>
      </c>
    </row>
    <row r="44" spans="1:7" ht="25.5" x14ac:dyDescent="0.2">
      <c r="A44" s="823"/>
      <c r="B44" s="1312" t="str">
        <f>'PAR. 7'!B43</f>
        <v>Hall, Banheiro 02 e DML</v>
      </c>
      <c r="C44" s="1312">
        <f>'PAR. 7'!C43</f>
        <v>20.12</v>
      </c>
      <c r="D44" s="1312" t="str">
        <f>'PAR. 7'!D43</f>
        <v>x</v>
      </c>
      <c r="E44" s="1312">
        <f>'PAR. 7'!E43</f>
        <v>2.8</v>
      </c>
      <c r="F44" s="1312" t="s">
        <v>72</v>
      </c>
      <c r="G44" s="1312">
        <f t="shared" si="2"/>
        <v>56.34</v>
      </c>
    </row>
    <row r="45" spans="1:7" x14ac:dyDescent="0.2">
      <c r="A45" s="1321"/>
      <c r="B45" s="1312" t="str">
        <f>'PAR. 7'!B44</f>
        <v>Copa</v>
      </c>
      <c r="C45" s="1312">
        <f>'PAR. 7'!C44</f>
        <v>9.83</v>
      </c>
      <c r="D45" s="1312" t="str">
        <f>'PAR. 7'!D44</f>
        <v>x</v>
      </c>
      <c r="E45" s="1312">
        <f>'PAR. 7'!E44</f>
        <v>2.8</v>
      </c>
      <c r="F45" s="1312" t="s">
        <v>72</v>
      </c>
      <c r="G45" s="1312">
        <f t="shared" si="2"/>
        <v>27.52</v>
      </c>
    </row>
    <row r="46" spans="1:7" ht="25.5" x14ac:dyDescent="0.2">
      <c r="A46" s="1321"/>
      <c r="B46" s="1312" t="str">
        <f>'PAR. 7'!B45</f>
        <v>Sala de Reunião e Auditório</v>
      </c>
      <c r="C46" s="1312">
        <f>'PAR. 7'!C45</f>
        <v>10.8</v>
      </c>
      <c r="D46" s="1312" t="str">
        <f>'PAR. 7'!D45</f>
        <v>x</v>
      </c>
      <c r="E46" s="1312">
        <f>'PAR. 7'!E45</f>
        <v>2.8</v>
      </c>
      <c r="F46" s="1312" t="s">
        <v>72</v>
      </c>
      <c r="G46" s="1312">
        <f t="shared" si="2"/>
        <v>30.24</v>
      </c>
    </row>
    <row r="47" spans="1:7" x14ac:dyDescent="0.2">
      <c r="A47" s="1321"/>
      <c r="B47" s="1312" t="str">
        <f>'PAR. 7'!B46</f>
        <v>Compras e Circulação</v>
      </c>
      <c r="C47" s="1312">
        <f>'PAR. 7'!C46</f>
        <v>8.9</v>
      </c>
      <c r="D47" s="1312" t="str">
        <f>'PAR. 7'!D46</f>
        <v>x</v>
      </c>
      <c r="E47" s="1312">
        <f>'PAR. 7'!E46</f>
        <v>2.8</v>
      </c>
      <c r="F47" s="1312" t="s">
        <v>72</v>
      </c>
      <c r="G47" s="1312">
        <f t="shared" si="2"/>
        <v>24.92</v>
      </c>
    </row>
    <row r="48" spans="1:7" ht="25.5" x14ac:dyDescent="0.2">
      <c r="A48" s="1321"/>
      <c r="B48" s="1312" t="str">
        <f>'PAR. 7'!B47</f>
        <v>Almoxarifado Compras</v>
      </c>
      <c r="C48" s="1312">
        <f>'PAR. 7'!C47</f>
        <v>7.35</v>
      </c>
      <c r="D48" s="1312" t="str">
        <f>'PAR. 7'!D47</f>
        <v>x</v>
      </c>
      <c r="E48" s="1312">
        <f>'PAR. 7'!E47</f>
        <v>2.8</v>
      </c>
      <c r="F48" s="1312" t="s">
        <v>72</v>
      </c>
      <c r="G48" s="1312">
        <f t="shared" si="2"/>
        <v>20.58</v>
      </c>
    </row>
    <row r="49" spans="1:11" x14ac:dyDescent="0.2">
      <c r="A49" s="1321"/>
      <c r="B49" s="1312" t="str">
        <f>'PAR. 7'!B48</f>
        <v>T.I.</v>
      </c>
      <c r="C49" s="1312">
        <f>'PAR. 7'!C48</f>
        <v>2.35</v>
      </c>
      <c r="D49" s="1312" t="str">
        <f>'PAR. 7'!D48</f>
        <v>x</v>
      </c>
      <c r="E49" s="1312">
        <f>'PAR. 7'!E48</f>
        <v>2.8</v>
      </c>
      <c r="F49" s="1312" t="s">
        <v>72</v>
      </c>
      <c r="G49" s="1312">
        <f t="shared" si="2"/>
        <v>6.58</v>
      </c>
    </row>
    <row r="50" spans="1:11" x14ac:dyDescent="0.2">
      <c r="A50" s="1321"/>
      <c r="B50" s="1312" t="str">
        <f>'PAR. 7'!B49</f>
        <v>Patamar Escada</v>
      </c>
      <c r="C50" s="1312">
        <f>'PAR. 7'!C49</f>
        <v>4.0999999999999996</v>
      </c>
      <c r="D50" s="1312" t="str">
        <f>'PAR. 7'!D49</f>
        <v>x</v>
      </c>
      <c r="E50" s="1312">
        <f>'PAR. 7'!E49</f>
        <v>2.8</v>
      </c>
      <c r="F50" s="1312" t="s">
        <v>72</v>
      </c>
      <c r="G50" s="1312">
        <f t="shared" si="2"/>
        <v>11.48</v>
      </c>
    </row>
    <row r="51" spans="1:11" ht="25.5" x14ac:dyDescent="0.2">
      <c r="A51" s="1321"/>
      <c r="B51" s="1312" t="str">
        <f>'PAR. 7'!B50</f>
        <v>Acesso (Rua Olavo Bilac)</v>
      </c>
      <c r="C51" s="1312">
        <f>'PAR. 7'!C50</f>
        <v>9.7800000000000011</v>
      </c>
      <c r="D51" s="1312" t="str">
        <f>'PAR. 7'!D50</f>
        <v>x</v>
      </c>
      <c r="E51" s="1312">
        <f>'PAR. 7'!E50</f>
        <v>2.8</v>
      </c>
      <c r="F51" s="1312" t="s">
        <v>72</v>
      </c>
      <c r="G51" s="1312">
        <f t="shared" si="2"/>
        <v>27.38</v>
      </c>
    </row>
    <row r="52" spans="1:11" ht="25.5" x14ac:dyDescent="0.2">
      <c r="A52" s="1321"/>
      <c r="B52" s="1312" t="str">
        <f>'PAR. 7'!B51</f>
        <v>Mureta (fachada rua 12)</v>
      </c>
      <c r="C52" s="1312">
        <f>'PAR. 7'!C51</f>
        <v>26.43</v>
      </c>
      <c r="D52" s="1312" t="str">
        <f>'PAR. 7'!D51</f>
        <v>x</v>
      </c>
      <c r="E52" s="1312">
        <f>'PAR. 7'!E51</f>
        <v>0.4</v>
      </c>
      <c r="F52" s="1312" t="s">
        <v>72</v>
      </c>
      <c r="G52" s="1312">
        <f t="shared" si="2"/>
        <v>10.57</v>
      </c>
    </row>
    <row r="53" spans="1:11" ht="25.5" x14ac:dyDescent="0.2">
      <c r="A53" s="1321"/>
      <c r="B53" s="1312" t="str">
        <f>'PAR. 7'!B52</f>
        <v>Mureta (fachada Rua Olavo Bilac)</v>
      </c>
      <c r="C53" s="1312">
        <f>'PAR. 7'!C52</f>
        <v>23.119999999999997</v>
      </c>
      <c r="D53" s="1312" t="str">
        <f>'PAR. 7'!D52</f>
        <v>x</v>
      </c>
      <c r="E53" s="1312">
        <f>'PAR. 7'!E52</f>
        <v>0.4</v>
      </c>
      <c r="F53" s="1312" t="s">
        <v>72</v>
      </c>
      <c r="G53" s="1312">
        <f t="shared" si="2"/>
        <v>9.25</v>
      </c>
    </row>
    <row r="54" spans="1:11" x14ac:dyDescent="0.2">
      <c r="A54" s="1321"/>
      <c r="B54" s="1312" t="str">
        <f>'PAR. 7'!B53</f>
        <v>Guarda Corpo 1</v>
      </c>
      <c r="C54" s="1312">
        <f>'PAR. 7'!C53</f>
        <v>14.750000000000002</v>
      </c>
      <c r="D54" s="1312" t="str">
        <f>'PAR. 7'!D53</f>
        <v>x</v>
      </c>
      <c r="E54" s="1312">
        <f>'PAR. 7'!E53</f>
        <v>1.2</v>
      </c>
      <c r="F54" s="1312" t="s">
        <v>72</v>
      </c>
      <c r="G54" s="1312">
        <f t="shared" si="2"/>
        <v>17.7</v>
      </c>
    </row>
    <row r="55" spans="1:11" x14ac:dyDescent="0.2">
      <c r="A55" s="1321"/>
      <c r="B55" s="1312" t="str">
        <f>'PAR. 7'!B54</f>
        <v>Guarda Corpo 2</v>
      </c>
      <c r="C55" s="1312">
        <f>'PAR. 7'!C54</f>
        <v>11.6</v>
      </c>
      <c r="D55" s="1312" t="str">
        <f>'PAR. 7'!D54</f>
        <v>x</v>
      </c>
      <c r="E55" s="1312">
        <f>'PAR. 7'!E54</f>
        <v>1.2</v>
      </c>
      <c r="F55" s="1312" t="s">
        <v>72</v>
      </c>
      <c r="G55" s="1312">
        <f t="shared" si="2"/>
        <v>13.92</v>
      </c>
    </row>
    <row r="56" spans="1:11" x14ac:dyDescent="0.2">
      <c r="A56" s="1321"/>
      <c r="B56" s="1312" t="str">
        <f>'PAR. 7'!B55</f>
        <v>Guarda Corpo 3</v>
      </c>
      <c r="C56" s="1312">
        <f>'PAR. 7'!C55</f>
        <v>15</v>
      </c>
      <c r="D56" s="1312" t="str">
        <f>'PAR. 7'!D55</f>
        <v>x</v>
      </c>
      <c r="E56" s="1312">
        <f>'PAR. 7'!E55</f>
        <v>1.2</v>
      </c>
      <c r="F56" s="1312" t="s">
        <v>72</v>
      </c>
      <c r="G56" s="1312">
        <f t="shared" si="2"/>
        <v>18</v>
      </c>
    </row>
    <row r="57" spans="1:11" ht="13.5" thickBot="1" x14ac:dyDescent="0.25">
      <c r="A57" s="678"/>
      <c r="B57" s="677"/>
      <c r="C57" s="677"/>
      <c r="D57" s="677"/>
      <c r="E57" s="677"/>
      <c r="F57" s="677"/>
      <c r="G57" s="677"/>
    </row>
    <row r="58" spans="1:11" ht="13.5" customHeight="1" thickBot="1" x14ac:dyDescent="0.25">
      <c r="A58" s="345"/>
      <c r="B58" s="1956" t="s">
        <v>493</v>
      </c>
      <c r="C58" s="1957"/>
      <c r="D58" s="1957"/>
      <c r="E58" s="1957"/>
      <c r="F58" s="1957"/>
      <c r="G58" s="449">
        <f>SUM(G20:G56)</f>
        <v>1140.0700000000002</v>
      </c>
      <c r="H58" s="570" t="s">
        <v>6</v>
      </c>
    </row>
    <row r="59" spans="1:11" x14ac:dyDescent="0.2">
      <c r="A59" s="345"/>
      <c r="B59" s="437"/>
      <c r="C59" s="437"/>
      <c r="D59" s="437"/>
      <c r="E59" s="437"/>
      <c r="F59" s="437"/>
      <c r="G59" s="437"/>
      <c r="H59" s="437"/>
      <c r="I59" s="437"/>
      <c r="J59" s="437"/>
      <c r="K59" s="437"/>
    </row>
    <row r="60" spans="1:11" x14ac:dyDescent="0.2">
      <c r="A60" s="567"/>
      <c r="B60" s="1958" t="s">
        <v>339</v>
      </c>
      <c r="C60" s="1959"/>
      <c r="D60" s="1959"/>
      <c r="E60" s="1959"/>
      <c r="F60" s="1959"/>
      <c r="G60" s="1959"/>
      <c r="H60" s="1959"/>
      <c r="I60" s="1959"/>
      <c r="J60" s="1960"/>
      <c r="K60" s="569"/>
    </row>
    <row r="61" spans="1:11" s="565" customFormat="1" x14ac:dyDescent="0.2">
      <c r="A61" s="556"/>
      <c r="B61" s="1899" t="s">
        <v>290</v>
      </c>
      <c r="C61" s="1901"/>
      <c r="D61" s="1310" t="s">
        <v>225</v>
      </c>
      <c r="E61" s="1310"/>
      <c r="F61" s="1310" t="s">
        <v>291</v>
      </c>
      <c r="G61" s="1310"/>
      <c r="H61" s="1327" t="s">
        <v>250</v>
      </c>
      <c r="I61" s="1310"/>
      <c r="J61" s="1310" t="s">
        <v>263</v>
      </c>
    </row>
    <row r="62" spans="1:11" x14ac:dyDescent="0.2">
      <c r="A62" s="22"/>
      <c r="B62" s="1953" t="str">
        <f>'PAR. 7'!B94:C94</f>
        <v>P2</v>
      </c>
      <c r="C62" s="1954"/>
      <c r="D62" s="1312">
        <f>'PAR. 7'!D94</f>
        <v>1.5</v>
      </c>
      <c r="E62" s="1312" t="s">
        <v>71</v>
      </c>
      <c r="F62" s="1312">
        <f>'PAR. 7'!F94</f>
        <v>2.1</v>
      </c>
      <c r="G62" s="1312" t="s">
        <v>71</v>
      </c>
      <c r="H62" s="1312">
        <f>'PAR. 7'!H94</f>
        <v>2</v>
      </c>
      <c r="I62" s="1364" t="s">
        <v>72</v>
      </c>
      <c r="J62" s="1364">
        <f>ROUND((D62*F62*H62),2)</f>
        <v>6.3</v>
      </c>
    </row>
    <row r="63" spans="1:11" x14ac:dyDescent="0.2">
      <c r="A63" s="22"/>
      <c r="B63" s="1953" t="str">
        <f>'PAR. 7'!B95:C95</f>
        <v>P3</v>
      </c>
      <c r="C63" s="1954"/>
      <c r="D63" s="1312">
        <f>'PAR. 7'!D95</f>
        <v>1.8</v>
      </c>
      <c r="E63" s="1312" t="s">
        <v>71</v>
      </c>
      <c r="F63" s="1312">
        <f>'PAR. 7'!F95</f>
        <v>2.2999999999999998</v>
      </c>
      <c r="G63" s="1312" t="s">
        <v>71</v>
      </c>
      <c r="H63" s="1312">
        <f>'PAR. 7'!H95</f>
        <v>2</v>
      </c>
      <c r="I63" s="1364" t="s">
        <v>72</v>
      </c>
      <c r="J63" s="1364">
        <f>ROUND((D63*F63*H63),2)</f>
        <v>8.2799999999999994</v>
      </c>
    </row>
    <row r="64" spans="1:11" x14ac:dyDescent="0.2">
      <c r="A64" s="22"/>
      <c r="B64" s="1953" t="str">
        <f>'PAR. 7'!B96:C96</f>
        <v>P4</v>
      </c>
      <c r="C64" s="1954"/>
      <c r="D64" s="1312">
        <f>'PAR. 7'!D96</f>
        <v>1.4</v>
      </c>
      <c r="E64" s="1312" t="s">
        <v>71</v>
      </c>
      <c r="F64" s="1312">
        <f>'PAR. 7'!F96</f>
        <v>2.1</v>
      </c>
      <c r="G64" s="1312" t="s">
        <v>71</v>
      </c>
      <c r="H64" s="1312">
        <f>'PAR. 7'!H96</f>
        <v>2</v>
      </c>
      <c r="I64" s="1364" t="s">
        <v>72</v>
      </c>
      <c r="J64" s="1364">
        <f>ROUND((D64*F64*H64),2)</f>
        <v>5.88</v>
      </c>
    </row>
    <row r="65" spans="1:11" x14ac:dyDescent="0.2">
      <c r="A65" s="22"/>
      <c r="B65" s="1953" t="str">
        <f>'PAR. 7'!B97:C97</f>
        <v>P5</v>
      </c>
      <c r="C65" s="1954"/>
      <c r="D65" s="1312">
        <f>'PAR. 7'!D97</f>
        <v>0.8</v>
      </c>
      <c r="E65" s="1312" t="s">
        <v>71</v>
      </c>
      <c r="F65" s="1312">
        <f>'PAR. 7'!F97</f>
        <v>2.1</v>
      </c>
      <c r="G65" s="1312" t="s">
        <v>71</v>
      </c>
      <c r="H65" s="1312">
        <f>'PAR. 7'!H97</f>
        <v>2</v>
      </c>
      <c r="I65" s="1364" t="s">
        <v>72</v>
      </c>
      <c r="J65" s="1364">
        <f t="shared" ref="J65:J70" si="4">ROUND((D65*F65*H65),2)</f>
        <v>3.36</v>
      </c>
    </row>
    <row r="66" spans="1:11" x14ac:dyDescent="0.2">
      <c r="A66" s="22"/>
      <c r="B66" s="1953" t="str">
        <f>'PAR. 7'!B98:C98</f>
        <v>P6</v>
      </c>
      <c r="C66" s="1954"/>
      <c r="D66" s="1312">
        <f>'PAR. 7'!D98</f>
        <v>0.7</v>
      </c>
      <c r="E66" s="1312" t="s">
        <v>71</v>
      </c>
      <c r="F66" s="1312">
        <f>'PAR. 7'!F98</f>
        <v>2.1</v>
      </c>
      <c r="G66" s="1312" t="s">
        <v>71</v>
      </c>
      <c r="H66" s="1312">
        <f>'PAR. 7'!H98</f>
        <v>3</v>
      </c>
      <c r="I66" s="1364" t="s">
        <v>72</v>
      </c>
      <c r="J66" s="1364">
        <f t="shared" si="4"/>
        <v>4.41</v>
      </c>
    </row>
    <row r="67" spans="1:11" x14ac:dyDescent="0.2">
      <c r="A67" s="22"/>
      <c r="B67" s="1953" t="str">
        <f>'PAR. 7'!B99:C99</f>
        <v>P7</v>
      </c>
      <c r="C67" s="1954"/>
      <c r="D67" s="1312">
        <f>'PAR. 7'!D99</f>
        <v>0.9</v>
      </c>
      <c r="E67" s="1312" t="s">
        <v>71</v>
      </c>
      <c r="F67" s="1312">
        <f>'PAR. 7'!F99</f>
        <v>2.1</v>
      </c>
      <c r="G67" s="1312" t="s">
        <v>71</v>
      </c>
      <c r="H67" s="1312">
        <f>'PAR. 7'!H99</f>
        <v>1</v>
      </c>
      <c r="I67" s="1364" t="s">
        <v>72</v>
      </c>
      <c r="J67" s="1364">
        <f t="shared" si="4"/>
        <v>1.89</v>
      </c>
    </row>
    <row r="68" spans="1:11" x14ac:dyDescent="0.2">
      <c r="A68" s="22"/>
      <c r="B68" s="1953" t="str">
        <f>'PAR. 7'!B100:C100</f>
        <v>P8</v>
      </c>
      <c r="C68" s="1954"/>
      <c r="D68" s="1312">
        <f>'PAR. 7'!D100</f>
        <v>0.8</v>
      </c>
      <c r="E68" s="1312" t="s">
        <v>71</v>
      </c>
      <c r="F68" s="1312">
        <f>'PAR. 7'!F100</f>
        <v>2.1</v>
      </c>
      <c r="G68" s="1312" t="s">
        <v>71</v>
      </c>
      <c r="H68" s="1312">
        <f>'PAR. 7'!H100</f>
        <v>3</v>
      </c>
      <c r="I68" s="1364" t="s">
        <v>72</v>
      </c>
      <c r="J68" s="1364">
        <f t="shared" si="4"/>
        <v>5.04</v>
      </c>
    </row>
    <row r="69" spans="1:11" x14ac:dyDescent="0.2">
      <c r="A69" s="22"/>
      <c r="B69" s="1953" t="str">
        <f>'PAR. 7'!B101:C101</f>
        <v>P9</v>
      </c>
      <c r="C69" s="1954"/>
      <c r="D69" s="1312">
        <f>'PAR. 7'!D101</f>
        <v>0.9</v>
      </c>
      <c r="E69" s="1312" t="s">
        <v>71</v>
      </c>
      <c r="F69" s="1312">
        <f>'PAR. 7'!F101</f>
        <v>2.1</v>
      </c>
      <c r="G69" s="1312" t="s">
        <v>71</v>
      </c>
      <c r="H69" s="1312">
        <f>'PAR. 7'!H101</f>
        <v>2</v>
      </c>
      <c r="I69" s="1364" t="s">
        <v>72</v>
      </c>
      <c r="J69" s="1364">
        <f t="shared" si="4"/>
        <v>3.78</v>
      </c>
    </row>
    <row r="70" spans="1:11" x14ac:dyDescent="0.2">
      <c r="A70" s="22"/>
      <c r="B70" s="1953" t="str">
        <f>'PAR. 7'!B102:C102</f>
        <v>PA1</v>
      </c>
      <c r="C70" s="1954"/>
      <c r="D70" s="1312">
        <f>'PAR. 7'!D102</f>
        <v>1.5</v>
      </c>
      <c r="E70" s="1312" t="s">
        <v>71</v>
      </c>
      <c r="F70" s="1312">
        <f>'PAR. 7'!F102</f>
        <v>2.1</v>
      </c>
      <c r="G70" s="1312" t="s">
        <v>71</v>
      </c>
      <c r="H70" s="1312">
        <f>'PAR. 7'!H102</f>
        <v>1</v>
      </c>
      <c r="I70" s="1364" t="s">
        <v>72</v>
      </c>
      <c r="J70" s="1364">
        <f t="shared" si="4"/>
        <v>3.15</v>
      </c>
    </row>
    <row r="71" spans="1:11" ht="13.5" thickBot="1" x14ac:dyDescent="0.25">
      <c r="A71" s="522"/>
      <c r="B71" s="522"/>
      <c r="C71" s="522"/>
      <c r="D71" s="522"/>
      <c r="E71" s="1204"/>
      <c r="F71" s="522"/>
      <c r="G71" s="522"/>
      <c r="H71" s="522"/>
      <c r="I71" s="522"/>
      <c r="J71" s="522"/>
      <c r="K71" s="522"/>
    </row>
    <row r="72" spans="1:11" ht="13.5" customHeight="1" thickBot="1" x14ac:dyDescent="0.25">
      <c r="A72" s="522"/>
      <c r="B72" s="1943" t="s">
        <v>1195</v>
      </c>
      <c r="C72" s="1944"/>
      <c r="D72" s="1944"/>
      <c r="E72" s="1944"/>
      <c r="F72" s="1944"/>
      <c r="G72" s="1944"/>
      <c r="H72" s="1945"/>
      <c r="I72" s="523">
        <f>SUM(J62:J70)</f>
        <v>42.089999999999996</v>
      </c>
      <c r="J72" s="522"/>
      <c r="K72" s="522"/>
    </row>
    <row r="73" spans="1:11" ht="13.5" customHeight="1" x14ac:dyDescent="0.2">
      <c r="A73" s="522"/>
      <c r="B73" s="524"/>
      <c r="C73" s="524"/>
      <c r="D73" s="524"/>
      <c r="E73" s="524"/>
      <c r="F73" s="524"/>
      <c r="G73" s="524"/>
      <c r="H73" s="524"/>
      <c r="I73" s="525"/>
      <c r="J73" s="522"/>
      <c r="K73" s="522"/>
    </row>
    <row r="74" spans="1:11" ht="13.5" customHeight="1" x14ac:dyDescent="0.2">
      <c r="A74" s="522"/>
      <c r="B74" s="1946" t="s">
        <v>337</v>
      </c>
      <c r="C74" s="1947"/>
      <c r="D74" s="1947"/>
      <c r="E74" s="1947"/>
      <c r="F74" s="1947"/>
      <c r="G74" s="1947"/>
      <c r="H74" s="1947"/>
      <c r="I74" s="1948"/>
      <c r="J74" s="522"/>
    </row>
    <row r="75" spans="1:11" ht="13.5" customHeight="1" x14ac:dyDescent="0.2">
      <c r="A75" s="522"/>
      <c r="B75" s="1312" t="s">
        <v>290</v>
      </c>
      <c r="C75" s="1310" t="s">
        <v>225</v>
      </c>
      <c r="D75" s="1310"/>
      <c r="E75" s="1310" t="s">
        <v>291</v>
      </c>
      <c r="F75" s="1310"/>
      <c r="G75" s="1327" t="s">
        <v>250</v>
      </c>
      <c r="H75" s="1319"/>
      <c r="I75" s="1310" t="s">
        <v>263</v>
      </c>
    </row>
    <row r="76" spans="1:11" ht="13.5" customHeight="1" x14ac:dyDescent="0.2">
      <c r="A76" s="522"/>
      <c r="B76" s="1328" t="str">
        <f>'PAR. 7'!B61:C61</f>
        <v>E1</v>
      </c>
      <c r="C76" s="1328">
        <f>'PAR. 7'!D61</f>
        <v>2</v>
      </c>
      <c r="D76" s="1328" t="s">
        <v>71</v>
      </c>
      <c r="E76" s="1328">
        <f>'PAR. 7'!F61</f>
        <v>0.5</v>
      </c>
      <c r="F76" s="1328" t="s">
        <v>71</v>
      </c>
      <c r="G76" s="1328">
        <f>'PAR. 7'!H61</f>
        <v>1</v>
      </c>
      <c r="H76" s="529" t="s">
        <v>72</v>
      </c>
      <c r="I76" s="1364">
        <f t="shared" ref="I76:I88" si="5">ROUND((C76*E76*G76),2)</f>
        <v>1</v>
      </c>
    </row>
    <row r="77" spans="1:11" ht="13.5" customHeight="1" x14ac:dyDescent="0.2">
      <c r="A77" s="522"/>
      <c r="B77" s="1328" t="str">
        <f>'PAR. 7'!B62:C62</f>
        <v>E2</v>
      </c>
      <c r="C77" s="1328">
        <f>'PAR. 7'!D62</f>
        <v>1.5</v>
      </c>
      <c r="D77" s="1328" t="s">
        <v>71</v>
      </c>
      <c r="E77" s="1328">
        <f>'PAR. 7'!F62</f>
        <v>0.5</v>
      </c>
      <c r="F77" s="1328" t="s">
        <v>71</v>
      </c>
      <c r="G77" s="1328">
        <f>'PAR. 7'!H62</f>
        <v>4</v>
      </c>
      <c r="H77" s="529" t="s">
        <v>72</v>
      </c>
      <c r="I77" s="1364">
        <f t="shared" si="5"/>
        <v>3</v>
      </c>
    </row>
    <row r="78" spans="1:11" ht="13.5" customHeight="1" x14ac:dyDescent="0.2">
      <c r="A78" s="522"/>
      <c r="B78" s="1328" t="str">
        <f>'PAR. 7'!B63:C63</f>
        <v>E3</v>
      </c>
      <c r="C78" s="1328">
        <f>'PAR. 7'!D63</f>
        <v>1.2</v>
      </c>
      <c r="D78" s="1328" t="s">
        <v>71</v>
      </c>
      <c r="E78" s="1328">
        <f>'PAR. 7'!F63</f>
        <v>0.5</v>
      </c>
      <c r="F78" s="1328" t="s">
        <v>71</v>
      </c>
      <c r="G78" s="1328">
        <f>'PAR. 7'!H63</f>
        <v>1</v>
      </c>
      <c r="H78" s="529" t="s">
        <v>72</v>
      </c>
      <c r="I78" s="1364">
        <f t="shared" si="5"/>
        <v>0.6</v>
      </c>
    </row>
    <row r="79" spans="1:11" ht="13.5" customHeight="1" x14ac:dyDescent="0.2">
      <c r="A79" s="522"/>
      <c r="B79" s="1328" t="str">
        <f>'PAR. 7'!B64:C64</f>
        <v>E4</v>
      </c>
      <c r="C79" s="1328">
        <f>'PAR. 7'!D64</f>
        <v>1</v>
      </c>
      <c r="D79" s="1328" t="s">
        <v>71</v>
      </c>
      <c r="E79" s="1328">
        <f>'PAR. 7'!F64</f>
        <v>0.5</v>
      </c>
      <c r="F79" s="1328" t="s">
        <v>71</v>
      </c>
      <c r="G79" s="1328">
        <f>'PAR. 7'!H64</f>
        <v>1</v>
      </c>
      <c r="H79" s="529" t="s">
        <v>72</v>
      </c>
      <c r="I79" s="1364">
        <f t="shared" si="5"/>
        <v>0.5</v>
      </c>
    </row>
    <row r="80" spans="1:11" ht="13.5" customHeight="1" x14ac:dyDescent="0.2">
      <c r="A80" s="522"/>
      <c r="B80" s="1328" t="str">
        <f>'PAR. 7'!B65:C65</f>
        <v>E5</v>
      </c>
      <c r="C80" s="1328">
        <f>'PAR. 7'!D65</f>
        <v>0.8</v>
      </c>
      <c r="D80" s="1328" t="s">
        <v>71</v>
      </c>
      <c r="E80" s="1328">
        <f>'PAR. 7'!F65</f>
        <v>0.5</v>
      </c>
      <c r="F80" s="1328" t="s">
        <v>71</v>
      </c>
      <c r="G80" s="1328">
        <f>'PAR. 7'!H65</f>
        <v>1</v>
      </c>
      <c r="H80" s="529" t="s">
        <v>72</v>
      </c>
      <c r="I80" s="1364">
        <f t="shared" si="5"/>
        <v>0.4</v>
      </c>
    </row>
    <row r="81" spans="1:9" ht="13.5" customHeight="1" x14ac:dyDescent="0.2">
      <c r="A81" s="522"/>
      <c r="B81" s="1328" t="str">
        <f>'PAR. 7'!B66:C66</f>
        <v>E6</v>
      </c>
      <c r="C81" s="1328">
        <f>'PAR. 7'!D66</f>
        <v>0.6</v>
      </c>
      <c r="D81" s="1328" t="s">
        <v>71</v>
      </c>
      <c r="E81" s="1328">
        <f>'PAR. 7'!F66</f>
        <v>0.5</v>
      </c>
      <c r="F81" s="1328" t="s">
        <v>71</v>
      </c>
      <c r="G81" s="1328">
        <f>'PAR. 7'!H66</f>
        <v>1</v>
      </c>
      <c r="H81" s="529" t="s">
        <v>72</v>
      </c>
      <c r="I81" s="1364">
        <f t="shared" si="5"/>
        <v>0.3</v>
      </c>
    </row>
    <row r="82" spans="1:9" ht="13.5" customHeight="1" x14ac:dyDescent="0.2">
      <c r="A82" s="522"/>
      <c r="B82" s="1328" t="str">
        <f>'PAR. 7'!B67:C67</f>
        <v>E7</v>
      </c>
      <c r="C82" s="1328">
        <f>'PAR. 7'!D67</f>
        <v>1.4</v>
      </c>
      <c r="D82" s="1328" t="s">
        <v>71</v>
      </c>
      <c r="E82" s="1328">
        <f>'PAR. 7'!F67</f>
        <v>0.5</v>
      </c>
      <c r="F82" s="1328" t="s">
        <v>71</v>
      </c>
      <c r="G82" s="1328">
        <f>'PAR. 7'!H67</f>
        <v>2</v>
      </c>
      <c r="H82" s="529" t="s">
        <v>72</v>
      </c>
      <c r="I82" s="1364">
        <f t="shared" si="5"/>
        <v>1.4</v>
      </c>
    </row>
    <row r="83" spans="1:9" ht="13.5" customHeight="1" x14ac:dyDescent="0.2">
      <c r="A83" s="522"/>
      <c r="B83" s="1328" t="str">
        <f>'PAR. 7'!B68:C68</f>
        <v>E9</v>
      </c>
      <c r="C83" s="1328">
        <f>'PAR. 7'!D68</f>
        <v>2.2999999999999998</v>
      </c>
      <c r="D83" s="1328" t="s">
        <v>71</v>
      </c>
      <c r="E83" s="1328">
        <f>'PAR. 7'!F68</f>
        <v>0.5</v>
      </c>
      <c r="F83" s="1328" t="s">
        <v>71</v>
      </c>
      <c r="G83" s="1328">
        <f>'PAR. 7'!H68</f>
        <v>1</v>
      </c>
      <c r="H83" s="529" t="s">
        <v>72</v>
      </c>
      <c r="I83" s="1364">
        <f t="shared" si="5"/>
        <v>1.1499999999999999</v>
      </c>
    </row>
    <row r="84" spans="1:9" ht="13.5" customHeight="1" x14ac:dyDescent="0.2">
      <c r="A84" s="522"/>
      <c r="B84" s="1328" t="str">
        <f>'PAR. 7'!B69:C69</f>
        <v>E10</v>
      </c>
      <c r="C84" s="1328">
        <f>'PAR. 7'!D69</f>
        <v>3</v>
      </c>
      <c r="D84" s="1328" t="s">
        <v>71</v>
      </c>
      <c r="E84" s="1328">
        <f>'PAR. 7'!F69</f>
        <v>0.5</v>
      </c>
      <c r="F84" s="1328" t="s">
        <v>71</v>
      </c>
      <c r="G84" s="1328">
        <f>'PAR. 7'!H69</f>
        <v>1</v>
      </c>
      <c r="H84" s="529" t="s">
        <v>72</v>
      </c>
      <c r="I84" s="1364">
        <f t="shared" si="5"/>
        <v>1.5</v>
      </c>
    </row>
    <row r="85" spans="1:9" ht="13.5" customHeight="1" x14ac:dyDescent="0.2">
      <c r="A85" s="522"/>
      <c r="B85" s="1328" t="str">
        <f>'PAR. 7'!B70:C70</f>
        <v>E11</v>
      </c>
      <c r="C85" s="1328">
        <f>'PAR. 7'!D70</f>
        <v>3.5</v>
      </c>
      <c r="D85" s="1328" t="s">
        <v>71</v>
      </c>
      <c r="E85" s="1328">
        <f>'PAR. 7'!F70</f>
        <v>0.5</v>
      </c>
      <c r="F85" s="1328" t="s">
        <v>71</v>
      </c>
      <c r="G85" s="1328">
        <f>'PAR. 7'!H70</f>
        <v>1</v>
      </c>
      <c r="H85" s="529" t="s">
        <v>72</v>
      </c>
      <c r="I85" s="1364">
        <f t="shared" si="5"/>
        <v>1.75</v>
      </c>
    </row>
    <row r="86" spans="1:9" ht="13.5" customHeight="1" x14ac:dyDescent="0.2">
      <c r="A86" s="522"/>
      <c r="B86" s="1328" t="str">
        <f>'PAR. 7'!B71:C71</f>
        <v>E12</v>
      </c>
      <c r="C86" s="1328">
        <f>'PAR. 7'!D71</f>
        <v>3.3</v>
      </c>
      <c r="D86" s="1328" t="s">
        <v>71</v>
      </c>
      <c r="E86" s="1328">
        <f>'PAR. 7'!F71</f>
        <v>0.5</v>
      </c>
      <c r="F86" s="1328" t="s">
        <v>71</v>
      </c>
      <c r="G86" s="1328">
        <f>'PAR. 7'!H71</f>
        <v>1</v>
      </c>
      <c r="H86" s="529" t="s">
        <v>72</v>
      </c>
      <c r="I86" s="1364">
        <f t="shared" si="5"/>
        <v>1.65</v>
      </c>
    </row>
    <row r="87" spans="1:9" ht="13.5" customHeight="1" x14ac:dyDescent="0.2">
      <c r="A87" s="522"/>
      <c r="B87" s="1328" t="str">
        <f>'PAR. 7'!B72:C72</f>
        <v>E13</v>
      </c>
      <c r="C87" s="1328">
        <f>'PAR. 7'!D72</f>
        <v>3.7</v>
      </c>
      <c r="D87" s="1328" t="s">
        <v>71</v>
      </c>
      <c r="E87" s="1328">
        <f>'PAR. 7'!F72</f>
        <v>0.5</v>
      </c>
      <c r="F87" s="1328" t="s">
        <v>71</v>
      </c>
      <c r="G87" s="1328">
        <f>'PAR. 7'!H72</f>
        <v>1</v>
      </c>
      <c r="H87" s="529" t="s">
        <v>72</v>
      </c>
      <c r="I87" s="1364">
        <f t="shared" si="5"/>
        <v>1.85</v>
      </c>
    </row>
    <row r="88" spans="1:9" ht="13.5" customHeight="1" x14ac:dyDescent="0.2">
      <c r="A88" s="522"/>
      <c r="B88" s="1328" t="str">
        <f>'PAR. 7'!B73:C73</f>
        <v>E14</v>
      </c>
      <c r="C88" s="1328">
        <f>'PAR. 7'!D73</f>
        <v>4</v>
      </c>
      <c r="D88" s="1328" t="s">
        <v>71</v>
      </c>
      <c r="E88" s="1328">
        <f>'PAR. 7'!F73</f>
        <v>0.5</v>
      </c>
      <c r="F88" s="1328" t="s">
        <v>71</v>
      </c>
      <c r="G88" s="1328">
        <f>'PAR. 7'!H73</f>
        <v>2</v>
      </c>
      <c r="H88" s="529" t="s">
        <v>72</v>
      </c>
      <c r="I88" s="1364">
        <f t="shared" si="5"/>
        <v>4</v>
      </c>
    </row>
    <row r="89" spans="1:9" ht="13.5" customHeight="1" x14ac:dyDescent="0.2">
      <c r="A89" s="522"/>
      <c r="B89" s="1328" t="str">
        <f>'PAR. 7'!B74:C74</f>
        <v>V2</v>
      </c>
      <c r="C89" s="1328">
        <f>'PAR. 7'!D74</f>
        <v>1</v>
      </c>
      <c r="D89" s="1328" t="s">
        <v>71</v>
      </c>
      <c r="E89" s="1328">
        <f>'PAR. 7'!F74</f>
        <v>1</v>
      </c>
      <c r="F89" s="1328" t="s">
        <v>71</v>
      </c>
      <c r="G89" s="1328">
        <f>'PAR. 7'!H74</f>
        <v>1</v>
      </c>
      <c r="H89" s="529" t="s">
        <v>72</v>
      </c>
      <c r="I89" s="1364">
        <f t="shared" ref="I89:I99" si="6">ROUND((C89*E89*G89),2)</f>
        <v>1</v>
      </c>
    </row>
    <row r="90" spans="1:9" ht="13.5" customHeight="1" x14ac:dyDescent="0.2">
      <c r="A90" s="522"/>
      <c r="B90" s="1949" t="str">
        <f>'PAR. 7'!B75:C75</f>
        <v>VT1 (RUA OLAVO BILAC)</v>
      </c>
      <c r="C90" s="1328">
        <f>'PAR. 7'!D75</f>
        <v>3.9499999999999997</v>
      </c>
      <c r="D90" s="1328" t="s">
        <v>71</v>
      </c>
      <c r="E90" s="1328">
        <f>'PAR. 7'!F75</f>
        <v>5</v>
      </c>
      <c r="F90" s="1328" t="s">
        <v>71</v>
      </c>
      <c r="G90" s="1328">
        <f>'PAR. 7'!H75</f>
        <v>1</v>
      </c>
      <c r="H90" s="529" t="s">
        <v>72</v>
      </c>
      <c r="I90" s="1364">
        <f t="shared" si="6"/>
        <v>19.75</v>
      </c>
    </row>
    <row r="91" spans="1:9" ht="13.5" customHeight="1" x14ac:dyDescent="0.2">
      <c r="A91" s="522"/>
      <c r="B91" s="1950"/>
      <c r="C91" s="1328">
        <f>'PAR. 7'!D76</f>
        <v>1.8</v>
      </c>
      <c r="D91" s="1328" t="s">
        <v>71</v>
      </c>
      <c r="E91" s="1328">
        <f>'PAR. 7'!F76</f>
        <v>3.1999999999999997</v>
      </c>
      <c r="F91" s="1328" t="s">
        <v>71</v>
      </c>
      <c r="G91" s="1328">
        <f>'PAR. 7'!H76</f>
        <v>1</v>
      </c>
      <c r="H91" s="529" t="s">
        <v>72</v>
      </c>
      <c r="I91" s="1364">
        <f t="shared" si="6"/>
        <v>5.76</v>
      </c>
    </row>
    <row r="92" spans="1:9" ht="13.5" customHeight="1" x14ac:dyDescent="0.2">
      <c r="A92" s="522"/>
      <c r="B92" s="1949" t="str">
        <f>'PAR. 7'!B77:C77</f>
        <v xml:space="preserve">VT2 </v>
      </c>
      <c r="C92" s="1328">
        <f>'PAR. 7'!D77</f>
        <v>4.5</v>
      </c>
      <c r="D92" s="1328" t="s">
        <v>71</v>
      </c>
      <c r="E92" s="1328">
        <f>'PAR. 7'!F77</f>
        <v>2.2000000000000002</v>
      </c>
      <c r="F92" s="1328" t="s">
        <v>71</v>
      </c>
      <c r="G92" s="1328">
        <f>'PAR. 7'!H77</f>
        <v>1</v>
      </c>
      <c r="H92" s="529" t="s">
        <v>72</v>
      </c>
      <c r="I92" s="1364">
        <f t="shared" si="6"/>
        <v>9.9</v>
      </c>
    </row>
    <row r="93" spans="1:9" ht="13.5" customHeight="1" x14ac:dyDescent="0.2">
      <c r="A93" s="522"/>
      <c r="B93" s="1950"/>
      <c r="C93" s="1328">
        <f>'PAR. 7'!D78</f>
        <v>4.5</v>
      </c>
      <c r="D93" s="1328" t="s">
        <v>71</v>
      </c>
      <c r="E93" s="1328">
        <f>'PAR. 7'!F78</f>
        <v>2.8</v>
      </c>
      <c r="F93" s="1328" t="s">
        <v>71</v>
      </c>
      <c r="G93" s="1328">
        <f>'PAR. 7'!H78</f>
        <v>1</v>
      </c>
      <c r="H93" s="529" t="s">
        <v>72</v>
      </c>
      <c r="I93" s="1364">
        <f t="shared" si="6"/>
        <v>12.6</v>
      </c>
    </row>
    <row r="94" spans="1:9" ht="13.5" customHeight="1" x14ac:dyDescent="0.2">
      <c r="A94" s="522"/>
      <c r="B94" s="1328" t="str">
        <f>'PAR. 7'!B79:C79</f>
        <v>VT3</v>
      </c>
      <c r="C94" s="1328">
        <f>'PAR. 7'!D79</f>
        <v>14</v>
      </c>
      <c r="D94" s="1328" t="s">
        <v>71</v>
      </c>
      <c r="E94" s="1328">
        <f>'PAR. 7'!F79</f>
        <v>1.9</v>
      </c>
      <c r="F94" s="1328" t="s">
        <v>71</v>
      </c>
      <c r="G94" s="1328">
        <f>'PAR. 7'!H79</f>
        <v>1</v>
      </c>
      <c r="H94" s="529" t="s">
        <v>72</v>
      </c>
      <c r="I94" s="1364">
        <f t="shared" si="6"/>
        <v>26.6</v>
      </c>
    </row>
    <row r="95" spans="1:9" ht="13.5" customHeight="1" x14ac:dyDescent="0.2">
      <c r="A95" s="522"/>
      <c r="B95" s="1949" t="str">
        <f>'PAR. 7'!B80:C80</f>
        <v>VT4</v>
      </c>
      <c r="C95" s="1328">
        <f>'PAR. 7'!D80</f>
        <v>3</v>
      </c>
      <c r="D95" s="1328" t="s">
        <v>71</v>
      </c>
      <c r="E95" s="1328">
        <f>'PAR. 7'!F80</f>
        <v>4.9000000000000004</v>
      </c>
      <c r="F95" s="1328" t="s">
        <v>71</v>
      </c>
      <c r="G95" s="1328">
        <f>'PAR. 7'!H80</f>
        <v>1</v>
      </c>
      <c r="H95" s="529" t="s">
        <v>72</v>
      </c>
      <c r="I95" s="1364">
        <f t="shared" si="6"/>
        <v>14.7</v>
      </c>
    </row>
    <row r="96" spans="1:9" ht="13.5" customHeight="1" x14ac:dyDescent="0.2">
      <c r="A96" s="522"/>
      <c r="B96" s="1950"/>
      <c r="C96" s="1328">
        <f>'PAR. 7'!D81</f>
        <v>6.85</v>
      </c>
      <c r="D96" s="1328" t="s">
        <v>71</v>
      </c>
      <c r="E96" s="1328">
        <f>'PAR. 7'!F81</f>
        <v>5.7</v>
      </c>
      <c r="F96" s="1328" t="s">
        <v>71</v>
      </c>
      <c r="G96" s="1328">
        <f>'PAR. 7'!H81</f>
        <v>1</v>
      </c>
      <c r="H96" s="529" t="s">
        <v>72</v>
      </c>
      <c r="I96" s="1364">
        <f t="shared" si="6"/>
        <v>39.049999999999997</v>
      </c>
    </row>
    <row r="97" spans="1:11" ht="13.5" customHeight="1" x14ac:dyDescent="0.2">
      <c r="A97" s="522"/>
      <c r="B97" s="1949" t="str">
        <f>'PAR. 7'!B82:C82</f>
        <v>VT5</v>
      </c>
      <c r="C97" s="1328">
        <f>'PAR. 7'!D82</f>
        <v>1.9</v>
      </c>
      <c r="D97" s="1328" t="s">
        <v>71</v>
      </c>
      <c r="E97" s="1328">
        <f>'PAR. 7'!F82</f>
        <v>2.2000000000000002</v>
      </c>
      <c r="F97" s="1328" t="s">
        <v>71</v>
      </c>
      <c r="G97" s="1328">
        <f>'PAR. 7'!H82</f>
        <v>1</v>
      </c>
      <c r="H97" s="529" t="s">
        <v>72</v>
      </c>
      <c r="I97" s="1364">
        <f t="shared" si="6"/>
        <v>4.18</v>
      </c>
    </row>
    <row r="98" spans="1:11" ht="13.5" customHeight="1" x14ac:dyDescent="0.2">
      <c r="A98" s="522"/>
      <c r="B98" s="1950"/>
      <c r="C98" s="1328">
        <f>'PAR. 7'!D83</f>
        <v>2.6</v>
      </c>
      <c r="D98" s="1328" t="s">
        <v>71</v>
      </c>
      <c r="E98" s="1328">
        <f>'PAR. 7'!F83</f>
        <v>2.2000000000000002</v>
      </c>
      <c r="F98" s="1328" t="s">
        <v>71</v>
      </c>
      <c r="G98" s="1328">
        <f>'PAR. 7'!H83</f>
        <v>1</v>
      </c>
      <c r="H98" s="529" t="s">
        <v>72</v>
      </c>
      <c r="I98" s="1364">
        <f t="shared" si="6"/>
        <v>5.72</v>
      </c>
    </row>
    <row r="99" spans="1:11" ht="13.5" customHeight="1" x14ac:dyDescent="0.2">
      <c r="A99" s="522"/>
      <c r="B99" s="1328" t="str">
        <f>'PAR. 7'!B84:C84</f>
        <v>VT6</v>
      </c>
      <c r="C99" s="1328">
        <f>'PAR. 7'!D84</f>
        <v>1.9</v>
      </c>
      <c r="D99" s="1328" t="s">
        <v>71</v>
      </c>
      <c r="E99" s="1328">
        <f>'PAR. 7'!F84</f>
        <v>1.3</v>
      </c>
      <c r="F99" s="1328" t="s">
        <v>71</v>
      </c>
      <c r="G99" s="1328">
        <f>'PAR. 7'!H84</f>
        <v>1</v>
      </c>
      <c r="H99" s="529" t="s">
        <v>72</v>
      </c>
      <c r="I99" s="1364">
        <f t="shared" si="6"/>
        <v>2.4700000000000002</v>
      </c>
    </row>
    <row r="100" spans="1:11" ht="13.5" customHeight="1" x14ac:dyDescent="0.2">
      <c r="A100" s="522"/>
      <c r="B100" s="1328" t="str">
        <f>'PAR. 7'!B85:C85</f>
        <v>VT7</v>
      </c>
      <c r="C100" s="1328">
        <f>'PAR. 7'!D85</f>
        <v>1.9</v>
      </c>
      <c r="D100" s="1328" t="s">
        <v>71</v>
      </c>
      <c r="E100" s="1328">
        <f>'PAR. 7'!F85</f>
        <v>1.6</v>
      </c>
      <c r="F100" s="1328" t="s">
        <v>71</v>
      </c>
      <c r="G100" s="1328">
        <f>'PAR. 7'!H85</f>
        <v>1</v>
      </c>
      <c r="H100" s="529" t="s">
        <v>72</v>
      </c>
      <c r="I100" s="1364">
        <f t="shared" ref="I100" si="7">ROUND((C100*E100*G100),2)</f>
        <v>3.04</v>
      </c>
    </row>
    <row r="101" spans="1:11" ht="13.5" customHeight="1" x14ac:dyDescent="0.2">
      <c r="A101" s="522"/>
      <c r="B101" s="1328" t="str">
        <f>'PAR. 7'!B86:C86</f>
        <v>VT8</v>
      </c>
      <c r="C101" s="1328">
        <f>'PAR. 7'!D86</f>
        <v>1.1499999999999999</v>
      </c>
      <c r="D101" s="1328" t="s">
        <v>71</v>
      </c>
      <c r="E101" s="1328">
        <f>'PAR. 7'!F86</f>
        <v>1.9</v>
      </c>
      <c r="F101" s="1328" t="s">
        <v>71</v>
      </c>
      <c r="G101" s="1328">
        <f>'PAR. 7'!H86</f>
        <v>1</v>
      </c>
      <c r="H101" s="529" t="s">
        <v>72</v>
      </c>
      <c r="I101" s="1364">
        <f t="shared" ref="I101:I103" si="8">ROUND((C101*E101*G101),2)</f>
        <v>2.19</v>
      </c>
    </row>
    <row r="102" spans="1:11" ht="13.5" customHeight="1" x14ac:dyDescent="0.2">
      <c r="A102" s="522"/>
      <c r="B102" s="1328" t="str">
        <f>'PAR. 7'!B87:C87</f>
        <v>VT9</v>
      </c>
      <c r="C102" s="1328">
        <f>'PAR. 7'!D87</f>
        <v>1.2</v>
      </c>
      <c r="D102" s="1328" t="s">
        <v>71</v>
      </c>
      <c r="E102" s="1328">
        <f>'PAR. 7'!F87</f>
        <v>1.9</v>
      </c>
      <c r="F102" s="1328" t="s">
        <v>71</v>
      </c>
      <c r="G102" s="1328">
        <f>'PAR. 7'!H87</f>
        <v>1</v>
      </c>
      <c r="H102" s="529" t="s">
        <v>72</v>
      </c>
      <c r="I102" s="1364">
        <f t="shared" si="8"/>
        <v>2.2799999999999998</v>
      </c>
    </row>
    <row r="103" spans="1:11" ht="13.5" customHeight="1" x14ac:dyDescent="0.2">
      <c r="A103" s="522"/>
      <c r="B103" s="1328" t="str">
        <f>'PAR. 7'!B88:C88</f>
        <v>V10</v>
      </c>
      <c r="C103" s="1328">
        <f>'PAR. 7'!D88</f>
        <v>1.2</v>
      </c>
      <c r="D103" s="1328" t="s">
        <v>71</v>
      </c>
      <c r="E103" s="1328">
        <f>'PAR. 7'!F88</f>
        <v>2.6</v>
      </c>
      <c r="F103" s="1328" t="s">
        <v>71</v>
      </c>
      <c r="G103" s="1328">
        <f>'PAR. 7'!H88</f>
        <v>1</v>
      </c>
      <c r="H103" s="529" t="s">
        <v>72</v>
      </c>
      <c r="I103" s="1364">
        <f t="shared" si="8"/>
        <v>3.12</v>
      </c>
    </row>
    <row r="104" spans="1:11" ht="13.5" thickBot="1" x14ac:dyDescent="0.25">
      <c r="A104" s="522"/>
      <c r="B104" s="876"/>
      <c r="C104" s="1318"/>
      <c r="D104" s="875"/>
      <c r="E104" s="875"/>
      <c r="F104" s="875"/>
      <c r="G104" s="875"/>
      <c r="H104" s="706"/>
      <c r="I104" s="543"/>
    </row>
    <row r="105" spans="1:11" ht="13.5" thickBot="1" x14ac:dyDescent="0.25">
      <c r="A105" s="522"/>
      <c r="B105" s="1943" t="s">
        <v>1196</v>
      </c>
      <c r="C105" s="1944"/>
      <c r="D105" s="1944"/>
      <c r="E105" s="1944"/>
      <c r="F105" s="1944"/>
      <c r="G105" s="1944"/>
      <c r="H105" s="1945"/>
      <c r="I105" s="523">
        <f>SUM(I76:I104)</f>
        <v>171.46</v>
      </c>
      <c r="J105" s="38"/>
      <c r="K105" s="522"/>
    </row>
    <row r="106" spans="1:11" ht="13.5" thickBot="1" x14ac:dyDescent="0.25">
      <c r="A106" s="522"/>
      <c r="B106" s="531"/>
      <c r="C106" s="532"/>
      <c r="D106" s="532"/>
      <c r="E106" s="533"/>
      <c r="F106" s="532"/>
      <c r="G106" s="532"/>
      <c r="H106" s="532"/>
      <c r="I106" s="532"/>
      <c r="J106" s="38"/>
      <c r="K106" s="522"/>
    </row>
    <row r="107" spans="1:11" ht="26.25" thickBot="1" x14ac:dyDescent="0.25">
      <c r="A107" s="522"/>
      <c r="B107" s="548" t="s">
        <v>341</v>
      </c>
      <c r="C107" s="549">
        <f>I105+I72</f>
        <v>213.55</v>
      </c>
      <c r="D107" s="550" t="s">
        <v>6</v>
      </c>
      <c r="E107" s="533"/>
      <c r="F107" s="532"/>
      <c r="G107" s="532"/>
      <c r="H107" s="532"/>
      <c r="I107" s="532"/>
      <c r="J107" s="38"/>
      <c r="K107" s="522"/>
    </row>
    <row r="108" spans="1:11" ht="13.5" thickBot="1" x14ac:dyDescent="0.25">
      <c r="A108" s="567"/>
      <c r="B108" s="558"/>
      <c r="C108" s="558"/>
      <c r="D108" s="558"/>
      <c r="E108" s="558"/>
      <c r="F108" s="558"/>
      <c r="G108" s="558"/>
      <c r="H108" s="558"/>
      <c r="I108" s="558"/>
      <c r="J108" s="558"/>
      <c r="K108" s="558"/>
    </row>
    <row r="109" spans="1:11" ht="38.25" x14ac:dyDescent="0.2">
      <c r="A109" s="522"/>
      <c r="B109" s="534"/>
      <c r="C109" s="535" t="s">
        <v>494</v>
      </c>
      <c r="D109" s="564"/>
      <c r="E109" s="535" t="s">
        <v>343</v>
      </c>
      <c r="F109" s="564"/>
      <c r="G109" s="1927" t="s">
        <v>86</v>
      </c>
      <c r="H109" s="1928"/>
      <c r="I109" s="38"/>
      <c r="J109" s="38"/>
      <c r="K109" s="522"/>
    </row>
    <row r="110" spans="1:11" ht="26.25" thickBot="1" x14ac:dyDescent="0.25">
      <c r="A110" s="522"/>
      <c r="B110" s="537" t="s">
        <v>496</v>
      </c>
      <c r="C110" s="538">
        <f>G58</f>
        <v>1140.0700000000002</v>
      </c>
      <c r="D110" s="539" t="s">
        <v>79</v>
      </c>
      <c r="E110" s="538">
        <f>C107</f>
        <v>213.55</v>
      </c>
      <c r="F110" s="539" t="s">
        <v>72</v>
      </c>
      <c r="G110" s="540">
        <f>C110-E110</f>
        <v>926.52000000000021</v>
      </c>
      <c r="H110" s="541" t="s">
        <v>6</v>
      </c>
      <c r="I110" s="38"/>
      <c r="J110" s="38"/>
      <c r="K110" s="522"/>
    </row>
    <row r="111" spans="1:11" ht="13.5" thickBot="1" x14ac:dyDescent="0.25">
      <c r="A111" s="567"/>
      <c r="B111" s="558"/>
      <c r="C111" s="558"/>
      <c r="D111" s="558"/>
      <c r="E111" s="558"/>
      <c r="F111" s="558"/>
      <c r="G111" s="558"/>
      <c r="H111" s="558"/>
      <c r="I111" s="558"/>
      <c r="J111" s="558"/>
      <c r="K111" s="558"/>
    </row>
    <row r="112" spans="1:11" s="329" customFormat="1" x14ac:dyDescent="0.2">
      <c r="A112" s="445"/>
      <c r="B112" s="456"/>
      <c r="C112" s="457" t="s">
        <v>305</v>
      </c>
      <c r="D112" s="458"/>
      <c r="E112" s="457" t="s">
        <v>521</v>
      </c>
      <c r="F112" s="459"/>
      <c r="G112" s="454" t="s">
        <v>306</v>
      </c>
    </row>
    <row r="113" spans="1:11" s="329" customFormat="1" ht="13.5" thickBot="1" x14ac:dyDescent="0.25">
      <c r="A113" s="445"/>
      <c r="B113" s="460" t="s">
        <v>495</v>
      </c>
      <c r="C113" s="461">
        <f>G110</f>
        <v>926.52000000000021</v>
      </c>
      <c r="D113" s="462" t="s">
        <v>71</v>
      </c>
      <c r="E113" s="461">
        <v>2</v>
      </c>
      <c r="F113" s="461" t="s">
        <v>72</v>
      </c>
      <c r="G113" s="455">
        <f>(C113)*E113</f>
        <v>1853.0400000000004</v>
      </c>
    </row>
    <row r="114" spans="1:11" x14ac:dyDescent="0.2">
      <c r="A114" s="701"/>
      <c r="B114" s="700"/>
      <c r="C114" s="700"/>
      <c r="D114" s="700"/>
      <c r="E114" s="700"/>
      <c r="F114" s="700"/>
      <c r="G114" s="700"/>
      <c r="H114" s="700"/>
      <c r="I114" s="700"/>
      <c r="J114" s="700"/>
      <c r="K114" s="700"/>
    </row>
    <row r="115" spans="1:11" x14ac:dyDescent="0.2">
      <c r="A115" s="1941" t="str">
        <f>ORÇ!A94</f>
        <v>8.2</v>
      </c>
      <c r="B115" s="1887" t="str">
        <f>ORÇ!D94</f>
        <v>EMBOÇO, PARA RECEBIMENTO DE CERÂMICA, EM ARGAMASSA TRAÇO 1:2:8, PREPARO MECÂNICO COM BETONEIRA 400L, APLICADO MANUALMENTE EM FACES INTERNAS DE PAREDES, PARA AMBIENTE COM ÁREA MAIOR QUE 10M2, ESPESSURA DE 10MM, COM EXECUÇÃO DE TALISCAS. AF_06/2014</v>
      </c>
      <c r="C115" s="1887"/>
      <c r="D115" s="1887"/>
      <c r="E115" s="1887"/>
      <c r="F115" s="1887"/>
      <c r="G115" s="1887"/>
      <c r="H115" s="1887"/>
      <c r="I115" s="1887"/>
      <c r="J115" s="1887"/>
      <c r="K115" s="1887"/>
    </row>
    <row r="116" spans="1:11" ht="24.75" customHeight="1" x14ac:dyDescent="0.2">
      <c r="A116" s="1941"/>
      <c r="B116" s="1887"/>
      <c r="C116" s="1887"/>
      <c r="D116" s="1887"/>
      <c r="E116" s="1887"/>
      <c r="F116" s="1887"/>
      <c r="G116" s="1887"/>
      <c r="H116" s="1887"/>
      <c r="I116" s="1887"/>
      <c r="J116" s="1887"/>
      <c r="K116" s="1887"/>
    </row>
    <row r="117" spans="1:11" x14ac:dyDescent="0.2">
      <c r="A117" s="420"/>
      <c r="B117" s="314"/>
      <c r="C117" s="314"/>
      <c r="D117" s="314"/>
      <c r="E117" s="314"/>
      <c r="F117" s="314"/>
      <c r="G117" s="314"/>
      <c r="H117" s="314"/>
      <c r="I117" s="314"/>
      <c r="J117" s="314"/>
      <c r="K117" s="314"/>
    </row>
    <row r="118" spans="1:11" x14ac:dyDescent="0.2">
      <c r="A118" s="420"/>
      <c r="B118" s="954" t="s">
        <v>309</v>
      </c>
      <c r="C118" s="954" t="s">
        <v>795</v>
      </c>
      <c r="D118" s="1361"/>
      <c r="E118" s="954" t="s">
        <v>291</v>
      </c>
      <c r="F118" s="1361"/>
      <c r="G118" s="954" t="s">
        <v>263</v>
      </c>
      <c r="H118" s="440"/>
      <c r="I118" s="440"/>
    </row>
    <row r="119" spans="1:11" x14ac:dyDescent="0.2">
      <c r="A119" s="1329"/>
      <c r="B119" s="1932" t="str">
        <f>B26</f>
        <v>Área de Serviço</v>
      </c>
      <c r="C119" s="1312">
        <f>C26</f>
        <v>11.15</v>
      </c>
      <c r="D119" s="1312" t="str">
        <f>D26</f>
        <v>x</v>
      </c>
      <c r="E119" s="1312">
        <f>E26</f>
        <v>2.8</v>
      </c>
      <c r="F119" s="578" t="s">
        <v>72</v>
      </c>
      <c r="G119" s="578">
        <f t="shared" ref="G119:G120" si="9">ROUND(C119*E119,2)</f>
        <v>31.22</v>
      </c>
      <c r="H119" s="419"/>
      <c r="I119" s="419"/>
    </row>
    <row r="120" spans="1:11" x14ac:dyDescent="0.2">
      <c r="A120" s="1329"/>
      <c r="B120" s="1932"/>
      <c r="C120" s="1312">
        <f t="shared" ref="C120:E123" si="10">C27</f>
        <v>5.15</v>
      </c>
      <c r="D120" s="1312" t="str">
        <f t="shared" si="10"/>
        <v>x</v>
      </c>
      <c r="E120" s="1312">
        <f t="shared" si="10"/>
        <v>1.5</v>
      </c>
      <c r="F120" s="578" t="s">
        <v>72</v>
      </c>
      <c r="G120" s="578">
        <f t="shared" si="9"/>
        <v>7.73</v>
      </c>
      <c r="H120" s="419"/>
      <c r="I120" s="419"/>
    </row>
    <row r="121" spans="1:11" x14ac:dyDescent="0.2">
      <c r="A121" s="676"/>
      <c r="B121" s="1312" t="str">
        <f>B28</f>
        <v>W.C. Masc e Fem. 02</v>
      </c>
      <c r="C121" s="1312">
        <f t="shared" si="10"/>
        <v>12.45</v>
      </c>
      <c r="D121" s="1312" t="str">
        <f t="shared" si="10"/>
        <v>x</v>
      </c>
      <c r="E121" s="1312">
        <f t="shared" si="10"/>
        <v>2.8</v>
      </c>
      <c r="F121" s="578" t="s">
        <v>72</v>
      </c>
      <c r="G121" s="578">
        <f t="shared" ref="G121:G127" si="11">ROUND(C121*E121,2)</f>
        <v>34.86</v>
      </c>
      <c r="H121" s="419"/>
      <c r="I121" s="419"/>
    </row>
    <row r="122" spans="1:11" x14ac:dyDescent="0.2">
      <c r="A122" s="676"/>
      <c r="B122" s="1312" t="str">
        <f>B29</f>
        <v>Cozinha</v>
      </c>
      <c r="C122" s="1312">
        <f t="shared" si="10"/>
        <v>21.52</v>
      </c>
      <c r="D122" s="1312" t="str">
        <f t="shared" si="10"/>
        <v>x</v>
      </c>
      <c r="E122" s="1312">
        <f t="shared" si="10"/>
        <v>2.8</v>
      </c>
      <c r="F122" s="578" t="s">
        <v>72</v>
      </c>
      <c r="G122" s="578">
        <f t="shared" si="11"/>
        <v>60.26</v>
      </c>
      <c r="H122" s="419"/>
      <c r="I122" s="419"/>
    </row>
    <row r="123" spans="1:11" ht="25.5" x14ac:dyDescent="0.2">
      <c r="A123" s="676"/>
      <c r="B123" s="1312" t="str">
        <f>B30</f>
        <v>WC. PCD Fem. e WC. Fem. 01</v>
      </c>
      <c r="C123" s="1312">
        <f t="shared" si="10"/>
        <v>29.409999999999997</v>
      </c>
      <c r="D123" s="1312" t="str">
        <f t="shared" si="10"/>
        <v>x</v>
      </c>
      <c r="E123" s="1312">
        <f t="shared" si="10"/>
        <v>2.8</v>
      </c>
      <c r="F123" s="578" t="s">
        <v>72</v>
      </c>
      <c r="G123" s="578">
        <f t="shared" si="11"/>
        <v>82.35</v>
      </c>
      <c r="H123" s="419"/>
      <c r="I123" s="419"/>
    </row>
    <row r="124" spans="1:11" ht="25.5" x14ac:dyDescent="0.2">
      <c r="A124" s="676"/>
      <c r="B124" s="1312" t="str">
        <f>B32</f>
        <v>WC. PCD Masc. e WC. Masc. 01</v>
      </c>
      <c r="C124" s="1312">
        <f>C32</f>
        <v>27.61</v>
      </c>
      <c r="D124" s="1312" t="str">
        <f>D32</f>
        <v>x</v>
      </c>
      <c r="E124" s="1312">
        <f>E32</f>
        <v>2.8</v>
      </c>
      <c r="F124" s="578" t="s">
        <v>72</v>
      </c>
      <c r="G124" s="578">
        <f t="shared" si="11"/>
        <v>77.31</v>
      </c>
      <c r="H124" s="419"/>
      <c r="I124" s="419"/>
    </row>
    <row r="125" spans="1:11" x14ac:dyDescent="0.2">
      <c r="A125" s="676"/>
      <c r="B125" s="1312" t="str">
        <f t="shared" ref="B125:E127" si="12">B43</f>
        <v>Banheiro 01</v>
      </c>
      <c r="C125" s="1312">
        <f t="shared" si="12"/>
        <v>9.75</v>
      </c>
      <c r="D125" s="1312" t="str">
        <f t="shared" si="12"/>
        <v>x</v>
      </c>
      <c r="E125" s="1312">
        <f t="shared" si="12"/>
        <v>2.8</v>
      </c>
      <c r="F125" s="578" t="s">
        <v>72</v>
      </c>
      <c r="G125" s="578">
        <f t="shared" si="11"/>
        <v>27.3</v>
      </c>
      <c r="H125" s="419"/>
      <c r="I125" s="419"/>
    </row>
    <row r="126" spans="1:11" ht="25.5" x14ac:dyDescent="0.2">
      <c r="A126" s="965"/>
      <c r="B126" s="1312" t="str">
        <f t="shared" si="12"/>
        <v>Hall, Banheiro 02 e DML</v>
      </c>
      <c r="C126" s="1312">
        <f t="shared" si="12"/>
        <v>20.12</v>
      </c>
      <c r="D126" s="1312" t="str">
        <f t="shared" si="12"/>
        <v>x</v>
      </c>
      <c r="E126" s="1312">
        <f t="shared" si="12"/>
        <v>2.8</v>
      </c>
      <c r="F126" s="578" t="s">
        <v>72</v>
      </c>
      <c r="G126" s="578">
        <f t="shared" ref="G126" si="13">ROUND(C126*E126,2)</f>
        <v>56.34</v>
      </c>
      <c r="H126" s="419"/>
      <c r="I126" s="419"/>
    </row>
    <row r="127" spans="1:11" x14ac:dyDescent="0.2">
      <c r="A127" s="676"/>
      <c r="B127" s="1312" t="str">
        <f t="shared" si="12"/>
        <v>Copa</v>
      </c>
      <c r="C127" s="1312">
        <f t="shared" si="12"/>
        <v>9.83</v>
      </c>
      <c r="D127" s="1312" t="str">
        <f t="shared" si="12"/>
        <v>x</v>
      </c>
      <c r="E127" s="1312">
        <f t="shared" si="12"/>
        <v>2.8</v>
      </c>
      <c r="F127" s="578" t="s">
        <v>72</v>
      </c>
      <c r="G127" s="578">
        <f t="shared" si="11"/>
        <v>27.52</v>
      </c>
      <c r="H127" s="419"/>
      <c r="I127" s="419"/>
    </row>
    <row r="128" spans="1:11" ht="13.5" thickBot="1" x14ac:dyDescent="0.25">
      <c r="A128" s="555"/>
      <c r="B128" s="423"/>
      <c r="C128" s="423"/>
      <c r="D128" s="423"/>
      <c r="E128" s="423"/>
      <c r="F128" s="423"/>
      <c r="G128" s="423"/>
      <c r="H128" s="419"/>
      <c r="I128" s="419"/>
    </row>
    <row r="129" spans="1:11" ht="24" customHeight="1" thickBot="1" x14ac:dyDescent="0.25">
      <c r="A129" s="555"/>
      <c r="B129" s="548" t="s">
        <v>497</v>
      </c>
      <c r="C129" s="549">
        <f>SUM(G121:G127)</f>
        <v>365.93999999999994</v>
      </c>
      <c r="D129" s="550" t="s">
        <v>6</v>
      </c>
      <c r="E129" s="423"/>
      <c r="F129" s="423"/>
      <c r="G129" s="423"/>
      <c r="H129" s="419"/>
      <c r="I129" s="419"/>
    </row>
    <row r="130" spans="1:11" x14ac:dyDescent="0.2">
      <c r="A130" s="442"/>
      <c r="B130" s="419"/>
      <c r="C130" s="419"/>
      <c r="D130" s="419"/>
      <c r="E130" s="419"/>
      <c r="F130" s="419"/>
      <c r="G130" s="419"/>
      <c r="H130" s="419"/>
      <c r="I130" s="419"/>
      <c r="J130" s="419"/>
      <c r="K130" s="419"/>
    </row>
    <row r="131" spans="1:11" ht="12.75" customHeight="1" x14ac:dyDescent="0.2">
      <c r="A131" s="555"/>
      <c r="B131" s="1942" t="s">
        <v>350</v>
      </c>
      <c r="C131" s="1942"/>
      <c r="D131" s="1942"/>
      <c r="E131" s="1942"/>
      <c r="F131" s="1942"/>
      <c r="G131" s="1942"/>
      <c r="H131" s="1942"/>
      <c r="I131" s="1942"/>
      <c r="J131" s="419"/>
      <c r="K131" s="419"/>
    </row>
    <row r="132" spans="1:11" ht="12" customHeight="1" x14ac:dyDescent="0.2">
      <c r="A132" s="555"/>
      <c r="B132" s="767" t="s">
        <v>290</v>
      </c>
      <c r="C132" s="708" t="s">
        <v>225</v>
      </c>
      <c r="D132" s="708"/>
      <c r="E132" s="708" t="s">
        <v>291</v>
      </c>
      <c r="F132" s="708"/>
      <c r="G132" s="708" t="s">
        <v>250</v>
      </c>
      <c r="H132" s="586"/>
      <c r="I132" s="586" t="s">
        <v>263</v>
      </c>
      <c r="J132" s="419"/>
    </row>
    <row r="133" spans="1:11" x14ac:dyDescent="0.2">
      <c r="A133" s="555"/>
      <c r="B133" s="766" t="str">
        <f>'PAR. 7'!B61:C61</f>
        <v>E1</v>
      </c>
      <c r="C133" s="708">
        <f>'PAR. 7'!D61</f>
        <v>2</v>
      </c>
      <c r="D133" s="708" t="s">
        <v>71</v>
      </c>
      <c r="E133" s="708">
        <f>'PAR. 7'!F61</f>
        <v>0.5</v>
      </c>
      <c r="F133" s="708" t="s">
        <v>71</v>
      </c>
      <c r="G133" s="708">
        <f>'PAR. 7'!H61</f>
        <v>1</v>
      </c>
      <c r="H133" s="281" t="s">
        <v>72</v>
      </c>
      <c r="I133" s="581">
        <f>ROUND((C133*E133*G133),2)</f>
        <v>1</v>
      </c>
      <c r="J133" s="419"/>
    </row>
    <row r="134" spans="1:11" x14ac:dyDescent="0.2">
      <c r="A134" s="698"/>
      <c r="B134" s="766" t="str">
        <f>'PAR. 7'!B62:C62</f>
        <v>E2</v>
      </c>
      <c r="C134" s="708">
        <f>'PAR. 7'!D62</f>
        <v>1.5</v>
      </c>
      <c r="D134" s="708" t="s">
        <v>71</v>
      </c>
      <c r="E134" s="708">
        <f>'PAR. 7'!F62</f>
        <v>0.5</v>
      </c>
      <c r="F134" s="708" t="s">
        <v>71</v>
      </c>
      <c r="G134" s="708">
        <f>'PAR. 7'!H62</f>
        <v>4</v>
      </c>
      <c r="H134" s="281" t="s">
        <v>72</v>
      </c>
      <c r="I134" s="581">
        <f t="shared" ref="I134:I140" si="14">ROUND((C134*E134*G134),2)</f>
        <v>3</v>
      </c>
      <c r="J134" s="419"/>
    </row>
    <row r="135" spans="1:11" ht="12.75" customHeight="1" x14ac:dyDescent="0.2">
      <c r="A135" s="698"/>
      <c r="B135" s="766" t="str">
        <f>'PAR. 7'!B64:C64</f>
        <v>E4</v>
      </c>
      <c r="C135" s="708">
        <f>'PAR. 7'!D64</f>
        <v>1</v>
      </c>
      <c r="D135" s="708" t="s">
        <v>71</v>
      </c>
      <c r="E135" s="708">
        <f>'PAR. 7'!F64</f>
        <v>0.5</v>
      </c>
      <c r="F135" s="708" t="s">
        <v>71</v>
      </c>
      <c r="G135" s="708">
        <f>'PAR. 7'!H64</f>
        <v>1</v>
      </c>
      <c r="H135" s="281" t="s">
        <v>72</v>
      </c>
      <c r="I135" s="581">
        <f t="shared" si="14"/>
        <v>0.5</v>
      </c>
      <c r="J135" s="419"/>
    </row>
    <row r="136" spans="1:11" x14ac:dyDescent="0.2">
      <c r="A136" s="698"/>
      <c r="B136" s="766" t="str">
        <f>'PAR. 7'!B65:C65</f>
        <v>E5</v>
      </c>
      <c r="C136" s="708">
        <f>'PAR. 7'!D65</f>
        <v>0.8</v>
      </c>
      <c r="D136" s="708" t="s">
        <v>71</v>
      </c>
      <c r="E136" s="708">
        <f>'PAR. 7'!F65</f>
        <v>0.5</v>
      </c>
      <c r="F136" s="708" t="s">
        <v>71</v>
      </c>
      <c r="G136" s="708">
        <f>'PAR. 7'!H65</f>
        <v>1</v>
      </c>
      <c r="H136" s="281" t="s">
        <v>72</v>
      </c>
      <c r="I136" s="581">
        <f t="shared" si="14"/>
        <v>0.4</v>
      </c>
      <c r="J136" s="419"/>
    </row>
    <row r="137" spans="1:11" x14ac:dyDescent="0.2">
      <c r="A137" s="698"/>
      <c r="B137" s="766" t="str">
        <f>'PAR. 7'!B66:C66</f>
        <v>E6</v>
      </c>
      <c r="C137" s="708">
        <f>'PAR. 7'!D66</f>
        <v>0.6</v>
      </c>
      <c r="D137" s="708" t="s">
        <v>71</v>
      </c>
      <c r="E137" s="708">
        <f>'PAR. 7'!F66</f>
        <v>0.5</v>
      </c>
      <c r="F137" s="708" t="s">
        <v>71</v>
      </c>
      <c r="G137" s="708">
        <f>'PAR. 7'!H66</f>
        <v>1</v>
      </c>
      <c r="H137" s="281" t="s">
        <v>72</v>
      </c>
      <c r="I137" s="581">
        <f t="shared" si="14"/>
        <v>0.3</v>
      </c>
      <c r="J137" s="419"/>
    </row>
    <row r="138" spans="1:11" x14ac:dyDescent="0.2">
      <c r="A138" s="698"/>
      <c r="B138" s="766" t="str">
        <f>'PAR. 7'!B67:C67</f>
        <v>E7</v>
      </c>
      <c r="C138" s="708">
        <f>'PAR. 7'!D67</f>
        <v>1.4</v>
      </c>
      <c r="D138" s="708" t="s">
        <v>71</v>
      </c>
      <c r="E138" s="708">
        <f>'PAR. 7'!F67</f>
        <v>0.5</v>
      </c>
      <c r="F138" s="708" t="s">
        <v>71</v>
      </c>
      <c r="G138" s="708">
        <f>'PAR. 7'!H67</f>
        <v>2</v>
      </c>
      <c r="H138" s="281" t="s">
        <v>72</v>
      </c>
      <c r="I138" s="581">
        <f t="shared" si="14"/>
        <v>1.4</v>
      </c>
      <c r="J138" s="419"/>
    </row>
    <row r="139" spans="1:11" x14ac:dyDescent="0.2">
      <c r="A139" s="698"/>
      <c r="B139" s="766" t="str">
        <f>'PAR. 7'!B68:C68</f>
        <v>E9</v>
      </c>
      <c r="C139" s="708">
        <f>'PAR. 7'!D68</f>
        <v>2.2999999999999998</v>
      </c>
      <c r="D139" s="708" t="str">
        <f>'PAR. 7'!E68</f>
        <v>x</v>
      </c>
      <c r="E139" s="708">
        <f>'PAR. 7'!F68</f>
        <v>0.5</v>
      </c>
      <c r="F139" s="708" t="str">
        <f>'PAR. 7'!G68</f>
        <v>x</v>
      </c>
      <c r="G139" s="708">
        <f>'PAR. 7'!H68</f>
        <v>1</v>
      </c>
      <c r="H139" s="281" t="s">
        <v>72</v>
      </c>
      <c r="I139" s="581">
        <f t="shared" si="14"/>
        <v>1.1499999999999999</v>
      </c>
      <c r="J139" s="419"/>
    </row>
    <row r="140" spans="1:11" x14ac:dyDescent="0.2">
      <c r="A140" s="698"/>
      <c r="B140" s="766" t="str">
        <f>'PAR. 7'!B69:C69</f>
        <v>E10</v>
      </c>
      <c r="C140" s="708">
        <f>'PAR. 7'!D69</f>
        <v>3</v>
      </c>
      <c r="D140" s="708" t="str">
        <f>'PAR. 7'!E69</f>
        <v>x</v>
      </c>
      <c r="E140" s="708">
        <f>'PAR. 7'!F69</f>
        <v>0.5</v>
      </c>
      <c r="F140" s="708" t="str">
        <f>'PAR. 7'!G69</f>
        <v>x</v>
      </c>
      <c r="G140" s="708">
        <f>'PAR. 7'!H69</f>
        <v>1</v>
      </c>
      <c r="H140" s="281" t="s">
        <v>72</v>
      </c>
      <c r="I140" s="581">
        <f t="shared" si="14"/>
        <v>1.5</v>
      </c>
      <c r="J140" s="419"/>
    </row>
    <row r="141" spans="1:11" x14ac:dyDescent="0.2">
      <c r="A141" s="555"/>
      <c r="B141" s="718"/>
      <c r="C141" s="718"/>
      <c r="D141" s="568"/>
      <c r="E141" s="568"/>
      <c r="F141" s="568"/>
      <c r="G141" s="568"/>
      <c r="H141" s="281"/>
      <c r="I141" s="581"/>
      <c r="J141" s="419"/>
      <c r="K141" s="419"/>
    </row>
    <row r="142" spans="1:11" x14ac:dyDescent="0.2">
      <c r="A142" s="698"/>
      <c r="B142" s="1942" t="s">
        <v>351</v>
      </c>
      <c r="C142" s="1942"/>
      <c r="D142" s="1942"/>
      <c r="E142" s="1942"/>
      <c r="F142" s="1942"/>
      <c r="G142" s="1942"/>
      <c r="H142" s="1942"/>
      <c r="I142" s="1942"/>
      <c r="J142" s="1942"/>
      <c r="K142" s="419"/>
    </row>
    <row r="143" spans="1:11" x14ac:dyDescent="0.2">
      <c r="A143" s="698"/>
      <c r="B143" s="708" t="s">
        <v>290</v>
      </c>
      <c r="C143" s="708" t="s">
        <v>225</v>
      </c>
      <c r="D143" s="708"/>
      <c r="E143" s="708" t="s">
        <v>291</v>
      </c>
      <c r="F143" s="708"/>
      <c r="G143" s="708" t="s">
        <v>250</v>
      </c>
      <c r="H143" s="586"/>
      <c r="I143" s="586" t="s">
        <v>263</v>
      </c>
      <c r="K143" s="419"/>
    </row>
    <row r="144" spans="1:11" x14ac:dyDescent="0.2">
      <c r="A144" s="698"/>
      <c r="B144" s="712" t="str">
        <f>'PAR. 7'!B123</f>
        <v>P2</v>
      </c>
      <c r="C144" s="712">
        <f>'PAR. 7'!D123</f>
        <v>1.5</v>
      </c>
      <c r="D144" s="712" t="str">
        <f>'PAR. 7'!E123</f>
        <v>x</v>
      </c>
      <c r="E144" s="712">
        <f>'PAR. 7'!F123</f>
        <v>2.1</v>
      </c>
      <c r="F144" s="712" t="str">
        <f>'PAR. 7'!G123</f>
        <v>x</v>
      </c>
      <c r="G144" s="712">
        <f>'PAR. 7'!H123</f>
        <v>4</v>
      </c>
      <c r="H144" s="586" t="s">
        <v>72</v>
      </c>
      <c r="I144" s="584">
        <f t="shared" ref="I144:I151" si="15">ROUND((C144*E144*G144),2)</f>
        <v>12.6</v>
      </c>
      <c r="K144" s="419"/>
    </row>
    <row r="145" spans="1:11" x14ac:dyDescent="0.2">
      <c r="A145" s="698"/>
      <c r="B145" s="712" t="str">
        <f>'PAR. 7'!B95</f>
        <v>P3</v>
      </c>
      <c r="C145" s="712">
        <f>'PAR. 7'!D95</f>
        <v>1.8</v>
      </c>
      <c r="D145" s="712" t="str">
        <f>'PAR. 7'!E95</f>
        <v>x</v>
      </c>
      <c r="E145" s="712">
        <f>'PAR. 7'!F95</f>
        <v>2.2999999999999998</v>
      </c>
      <c r="F145" s="712" t="str">
        <f>'PAR. 7'!G95</f>
        <v>x</v>
      </c>
      <c r="G145" s="712">
        <f>'PAR. 7'!H95</f>
        <v>2</v>
      </c>
      <c r="H145" s="586" t="s">
        <v>72</v>
      </c>
      <c r="I145" s="584">
        <f t="shared" si="15"/>
        <v>8.2799999999999994</v>
      </c>
      <c r="K145" s="419"/>
    </row>
    <row r="146" spans="1:11" x14ac:dyDescent="0.2">
      <c r="A146" s="698"/>
      <c r="B146" s="712" t="str">
        <f>'PAR. 7'!B96</f>
        <v>P4</v>
      </c>
      <c r="C146" s="712">
        <f>'PAR. 7'!D96</f>
        <v>1.4</v>
      </c>
      <c r="D146" s="712" t="str">
        <f>'PAR. 7'!E96</f>
        <v>x</v>
      </c>
      <c r="E146" s="712">
        <f>'PAR. 7'!F96</f>
        <v>2.1</v>
      </c>
      <c r="F146" s="712" t="str">
        <f>'PAR. 7'!G96</f>
        <v>x</v>
      </c>
      <c r="G146" s="712">
        <f>'PAR. 7'!H96</f>
        <v>2</v>
      </c>
      <c r="H146" s="586" t="s">
        <v>72</v>
      </c>
      <c r="I146" s="584">
        <f t="shared" si="15"/>
        <v>5.88</v>
      </c>
      <c r="K146" s="419"/>
    </row>
    <row r="147" spans="1:11" x14ac:dyDescent="0.2">
      <c r="A147" s="698"/>
      <c r="B147" s="712" t="str">
        <f>'PAR. 7'!B97</f>
        <v>P5</v>
      </c>
      <c r="C147" s="712">
        <f>'PAR. 7'!D97</f>
        <v>0.8</v>
      </c>
      <c r="D147" s="712" t="str">
        <f>'PAR. 7'!E97</f>
        <v>x</v>
      </c>
      <c r="E147" s="712">
        <f>'PAR. 7'!F97</f>
        <v>2.1</v>
      </c>
      <c r="F147" s="712" t="str">
        <f>'PAR. 7'!G97</f>
        <v>x</v>
      </c>
      <c r="G147" s="712">
        <f>'PAR. 7'!H97</f>
        <v>2</v>
      </c>
      <c r="H147" s="586" t="s">
        <v>72</v>
      </c>
      <c r="I147" s="584">
        <f t="shared" si="15"/>
        <v>3.36</v>
      </c>
      <c r="J147" s="419"/>
      <c r="K147" s="419"/>
    </row>
    <row r="148" spans="1:11" x14ac:dyDescent="0.2">
      <c r="A148" s="698"/>
      <c r="B148" s="712" t="str">
        <f>'PAR. 7'!B98</f>
        <v>P6</v>
      </c>
      <c r="C148" s="712">
        <f>'PAR. 7'!D98</f>
        <v>0.7</v>
      </c>
      <c r="D148" s="712" t="str">
        <f>'PAR. 7'!E98</f>
        <v>x</v>
      </c>
      <c r="E148" s="712">
        <f>'PAR. 7'!F98</f>
        <v>2.1</v>
      </c>
      <c r="F148" s="712" t="str">
        <f>'PAR. 7'!G98</f>
        <v>x</v>
      </c>
      <c r="G148" s="712">
        <f>'PAR. 7'!H98</f>
        <v>3</v>
      </c>
      <c r="H148" s="586" t="s">
        <v>72</v>
      </c>
      <c r="I148" s="584">
        <f t="shared" si="15"/>
        <v>4.41</v>
      </c>
      <c r="J148" s="419"/>
      <c r="K148" s="419"/>
    </row>
    <row r="149" spans="1:11" ht="12.75" customHeight="1" x14ac:dyDescent="0.2">
      <c r="A149" s="698"/>
      <c r="B149" s="712" t="str">
        <f>'PAR. 7'!B99</f>
        <v>P7</v>
      </c>
      <c r="C149" s="712">
        <f>'PAR. 7'!D99</f>
        <v>0.9</v>
      </c>
      <c r="D149" s="712" t="str">
        <f>'PAR. 7'!E99</f>
        <v>x</v>
      </c>
      <c r="E149" s="712">
        <f>'PAR. 7'!F99</f>
        <v>2.1</v>
      </c>
      <c r="F149" s="712" t="str">
        <f>'PAR. 7'!G99</f>
        <v>x</v>
      </c>
      <c r="G149" s="712">
        <f>'PAR. 7'!H99</f>
        <v>1</v>
      </c>
      <c r="H149" s="586" t="s">
        <v>72</v>
      </c>
      <c r="I149" s="584">
        <f t="shared" si="15"/>
        <v>1.89</v>
      </c>
      <c r="J149" s="419"/>
      <c r="K149" s="419"/>
    </row>
    <row r="150" spans="1:11" x14ac:dyDescent="0.2">
      <c r="A150" s="698"/>
      <c r="B150" s="712" t="str">
        <f>'PAR. 7'!B100</f>
        <v>P8</v>
      </c>
      <c r="C150" s="712">
        <f>'PAR. 7'!D100</f>
        <v>0.8</v>
      </c>
      <c r="D150" s="712" t="str">
        <f>'PAR. 7'!E100</f>
        <v>x</v>
      </c>
      <c r="E150" s="712">
        <f>'PAR. 7'!F100</f>
        <v>2.1</v>
      </c>
      <c r="F150" s="712" t="str">
        <f>'PAR. 7'!G100</f>
        <v>x</v>
      </c>
      <c r="G150" s="712">
        <f>'PAR. 7'!H100</f>
        <v>3</v>
      </c>
      <c r="H150" s="586" t="s">
        <v>72</v>
      </c>
      <c r="I150" s="584">
        <f t="shared" si="15"/>
        <v>5.04</v>
      </c>
      <c r="J150" s="419"/>
      <c r="K150" s="419"/>
    </row>
    <row r="151" spans="1:11" x14ac:dyDescent="0.2">
      <c r="A151" s="698"/>
      <c r="B151" s="712" t="str">
        <f>'PAR. 7'!B101</f>
        <v>P9</v>
      </c>
      <c r="C151" s="712">
        <f>'PAR. 7'!D101</f>
        <v>0.9</v>
      </c>
      <c r="D151" s="712" t="str">
        <f>'PAR. 7'!E101</f>
        <v>x</v>
      </c>
      <c r="E151" s="712">
        <f>'PAR. 7'!F101</f>
        <v>2.1</v>
      </c>
      <c r="F151" s="712" t="str">
        <f>'PAR. 7'!G101</f>
        <v>x</v>
      </c>
      <c r="G151" s="712">
        <f>'PAR. 7'!H101</f>
        <v>2</v>
      </c>
      <c r="H151" s="586" t="s">
        <v>72</v>
      </c>
      <c r="I151" s="584">
        <f t="shared" si="15"/>
        <v>3.78</v>
      </c>
      <c r="J151" s="419"/>
      <c r="K151" s="419"/>
    </row>
    <row r="152" spans="1:11" ht="13.5" thickBot="1" x14ac:dyDescent="0.25">
      <c r="A152" s="555"/>
      <c r="B152" s="580"/>
      <c r="C152" s="568"/>
      <c r="D152" s="568"/>
      <c r="E152" s="568"/>
      <c r="F152" s="568"/>
      <c r="G152" s="568"/>
      <c r="H152" s="281"/>
      <c r="I152" s="581"/>
      <c r="J152" s="419"/>
      <c r="K152" s="419"/>
    </row>
    <row r="153" spans="1:11" ht="13.5" thickBot="1" x14ac:dyDescent="0.25">
      <c r="A153" s="555"/>
      <c r="B153" s="548" t="s">
        <v>349</v>
      </c>
      <c r="C153" s="549">
        <f>SUM(I133:I151)</f>
        <v>54.49</v>
      </c>
      <c r="D153" s="550" t="s">
        <v>6</v>
      </c>
      <c r="E153" s="568"/>
      <c r="F153" s="568"/>
      <c r="G153" s="568"/>
      <c r="H153" s="281"/>
      <c r="I153" s="581"/>
      <c r="J153" s="419"/>
      <c r="K153" s="419"/>
    </row>
    <row r="154" spans="1:11" ht="13.5" thickBot="1" x14ac:dyDescent="0.25">
      <c r="A154" s="555"/>
      <c r="B154" s="419"/>
      <c r="C154" s="419"/>
      <c r="D154" s="419"/>
      <c r="E154" s="419"/>
      <c r="F154" s="419"/>
      <c r="G154" s="419"/>
      <c r="H154" s="419"/>
      <c r="I154" s="419"/>
      <c r="J154" s="419"/>
      <c r="K154" s="419"/>
    </row>
    <row r="155" spans="1:11" x14ac:dyDescent="0.2">
      <c r="A155" s="1329"/>
      <c r="B155" s="456"/>
      <c r="C155" s="457" t="s">
        <v>305</v>
      </c>
      <c r="D155" s="458"/>
      <c r="E155" s="457" t="s">
        <v>521</v>
      </c>
      <c r="F155" s="459"/>
      <c r="G155" s="454" t="s">
        <v>306</v>
      </c>
      <c r="H155" s="419"/>
      <c r="I155" s="419"/>
      <c r="J155" s="419"/>
      <c r="K155" s="419"/>
    </row>
    <row r="156" spans="1:11" ht="13.5" thickBot="1" x14ac:dyDescent="0.25">
      <c r="A156" s="1329"/>
      <c r="B156" s="460" t="s">
        <v>495</v>
      </c>
      <c r="C156" s="461">
        <f>C129-C153</f>
        <v>311.44999999999993</v>
      </c>
      <c r="D156" s="462" t="s">
        <v>71</v>
      </c>
      <c r="E156" s="461">
        <v>2</v>
      </c>
      <c r="F156" s="461" t="s">
        <v>72</v>
      </c>
      <c r="G156" s="455">
        <f>C156*E156</f>
        <v>622.89999999999986</v>
      </c>
      <c r="H156" s="419"/>
      <c r="I156" s="419"/>
      <c r="J156" s="419"/>
      <c r="K156" s="419"/>
    </row>
    <row r="157" spans="1:11" x14ac:dyDescent="0.2">
      <c r="A157" s="1329"/>
      <c r="B157" s="419"/>
      <c r="C157" s="419"/>
      <c r="D157" s="419"/>
      <c r="E157" s="419"/>
      <c r="F157" s="419"/>
      <c r="G157" s="419"/>
      <c r="H157" s="419"/>
      <c r="I157" s="419"/>
      <c r="J157" s="419"/>
      <c r="K157" s="419"/>
    </row>
    <row r="158" spans="1:11" x14ac:dyDescent="0.2">
      <c r="A158" s="442"/>
      <c r="B158" s="419"/>
      <c r="C158" s="419"/>
      <c r="D158" s="419"/>
      <c r="E158" s="419"/>
      <c r="F158" s="419"/>
      <c r="G158" s="419"/>
      <c r="H158" s="419"/>
      <c r="I158" s="419"/>
      <c r="J158" s="419"/>
      <c r="K158" s="419"/>
    </row>
    <row r="159" spans="1:11" x14ac:dyDescent="0.2">
      <c r="A159" s="1941" t="str">
        <f>ORÇ!A95</f>
        <v>8.3</v>
      </c>
      <c r="B159" s="1887" t="str">
        <f>ORÇ!D95</f>
        <v>MASSA ÚNICA, PARA RECEBIMENTO DE PINTURA, EM ARGAMASSA TRAÇO 1:2:8, PREPARO MECÂNICO COM BETONEIRA 400L, APLICADA MANUALMENTE EM FACES INTERNAS DE PAREDES, ESPESSURA DE 10MM, COM EXECUÇÃO DE TALISCAS. AF_06/2014</v>
      </c>
      <c r="C159" s="1887"/>
      <c r="D159" s="1887"/>
      <c r="E159" s="1887"/>
      <c r="F159" s="1887"/>
      <c r="G159" s="1887"/>
      <c r="H159" s="1887"/>
      <c r="I159" s="1887"/>
      <c r="J159" s="1887"/>
      <c r="K159" s="1887"/>
    </row>
    <row r="160" spans="1:11" ht="29.25" customHeight="1" x14ac:dyDescent="0.2">
      <c r="A160" s="1941"/>
      <c r="B160" s="1887"/>
      <c r="C160" s="1887"/>
      <c r="D160" s="1887"/>
      <c r="E160" s="1887"/>
      <c r="F160" s="1887"/>
      <c r="G160" s="1887"/>
      <c r="H160" s="1887"/>
      <c r="I160" s="1887"/>
      <c r="J160" s="1887"/>
      <c r="K160" s="1887"/>
    </row>
    <row r="161" spans="1:11" ht="13.5" thickBot="1" x14ac:dyDescent="0.25">
      <c r="A161" s="438"/>
    </row>
    <row r="162" spans="1:11" x14ac:dyDescent="0.2">
      <c r="A162" s="444"/>
      <c r="B162" s="463" t="s">
        <v>312</v>
      </c>
      <c r="C162" s="464"/>
      <c r="D162" s="464" t="s">
        <v>311</v>
      </c>
      <c r="E162" s="464"/>
      <c r="F162" s="1951" t="s">
        <v>313</v>
      </c>
      <c r="G162" s="1952"/>
    </row>
    <row r="163" spans="1:11" ht="13.5" thickBot="1" x14ac:dyDescent="0.25">
      <c r="A163" s="444"/>
      <c r="B163" s="465">
        <f>G113</f>
        <v>1853.0400000000004</v>
      </c>
      <c r="C163" s="466" t="s">
        <v>79</v>
      </c>
      <c r="D163" s="467">
        <f>G156</f>
        <v>622.89999999999986</v>
      </c>
      <c r="E163" s="466" t="s">
        <v>72</v>
      </c>
      <c r="F163" s="468">
        <f>B163-D163</f>
        <v>1230.1400000000006</v>
      </c>
      <c r="G163" s="469" t="s">
        <v>6</v>
      </c>
    </row>
    <row r="164" spans="1:11" x14ac:dyDescent="0.2">
      <c r="A164" s="444"/>
    </row>
    <row r="165" spans="1:11" x14ac:dyDescent="0.2">
      <c r="A165" s="438"/>
    </row>
    <row r="166" spans="1:11" x14ac:dyDescent="0.2">
      <c r="A166" s="1941" t="str">
        <f>ORÇ!A96</f>
        <v>8.4</v>
      </c>
      <c r="B166" s="1887" t="str">
        <f>ORÇ!D96</f>
        <v>REVESTIMENTO CERÂMICO PARA PAREDES INTERNAS COM PLACAS TIPO ESMALTADA PADRÃO POPULAR DE DIMENSÕES 20X20 CM, ARGAMASSA TIPO AC III, APLICADAS EM AMBIENTES DE ÁREA MAIOR QUE 5 M2 NA ALTURA INTEIRA DAS PAREDES. AF_06/2014</v>
      </c>
      <c r="C166" s="1887"/>
      <c r="D166" s="1887"/>
      <c r="E166" s="1887"/>
      <c r="F166" s="1887"/>
      <c r="G166" s="1887"/>
      <c r="H166" s="1887"/>
      <c r="I166" s="1887"/>
      <c r="J166" s="1887"/>
      <c r="K166" s="1887"/>
    </row>
    <row r="167" spans="1:11" ht="32.25" customHeight="1" x14ac:dyDescent="0.2">
      <c r="A167" s="1941"/>
      <c r="B167" s="1887"/>
      <c r="C167" s="1887"/>
      <c r="D167" s="1887"/>
      <c r="E167" s="1887"/>
      <c r="F167" s="1887"/>
      <c r="G167" s="1887"/>
      <c r="H167" s="1887"/>
      <c r="I167" s="1887"/>
      <c r="J167" s="1887"/>
      <c r="K167" s="1887"/>
    </row>
    <row r="168" spans="1:11" ht="13.5" thickBot="1" x14ac:dyDescent="0.25"/>
    <row r="169" spans="1:11" ht="13.5" thickBot="1" x14ac:dyDescent="0.25">
      <c r="B169" s="470" t="s">
        <v>314</v>
      </c>
      <c r="C169" s="471">
        <f>G156</f>
        <v>622.89999999999986</v>
      </c>
      <c r="D169" s="472" t="s">
        <v>6</v>
      </c>
    </row>
  </sheetData>
  <mergeCells count="52">
    <mergeCell ref="A15:A16"/>
    <mergeCell ref="B26:B27"/>
    <mergeCell ref="B34:B35"/>
    <mergeCell ref="B70:C70"/>
    <mergeCell ref="A115:A116"/>
    <mergeCell ref="B18:G18"/>
    <mergeCell ref="B58:F58"/>
    <mergeCell ref="B60:J60"/>
    <mergeCell ref="B20:B21"/>
    <mergeCell ref="F162:G162"/>
    <mergeCell ref="B105:H105"/>
    <mergeCell ref="B62:C62"/>
    <mergeCell ref="B63:C63"/>
    <mergeCell ref="B64:C64"/>
    <mergeCell ref="B65:C65"/>
    <mergeCell ref="B66:C66"/>
    <mergeCell ref="B67:C67"/>
    <mergeCell ref="B68:C68"/>
    <mergeCell ref="B69:C69"/>
    <mergeCell ref="A159:A160"/>
    <mergeCell ref="B159:K160"/>
    <mergeCell ref="B119:B120"/>
    <mergeCell ref="B142:J142"/>
    <mergeCell ref="B72:H72"/>
    <mergeCell ref="G109:H109"/>
    <mergeCell ref="B131:I131"/>
    <mergeCell ref="B74:I74"/>
    <mergeCell ref="B90:B91"/>
    <mergeCell ref="B92:B93"/>
    <mergeCell ref="B95:B96"/>
    <mergeCell ref="B97:B98"/>
    <mergeCell ref="A166:A167"/>
    <mergeCell ref="B166:K167"/>
    <mergeCell ref="B4:K4"/>
    <mergeCell ref="B5:D5"/>
    <mergeCell ref="E5:F6"/>
    <mergeCell ref="G5:K6"/>
    <mergeCell ref="A6:A7"/>
    <mergeCell ref="B6:D7"/>
    <mergeCell ref="E7:F7"/>
    <mergeCell ref="G7:K7"/>
    <mergeCell ref="B115:K116"/>
    <mergeCell ref="B15:K16"/>
    <mergeCell ref="A9:K9"/>
    <mergeCell ref="A10:K10"/>
    <mergeCell ref="A11:K11"/>
    <mergeCell ref="B61:C61"/>
    <mergeCell ref="A1:K1"/>
    <mergeCell ref="B2:F2"/>
    <mergeCell ref="G2:H2"/>
    <mergeCell ref="I2:K2"/>
    <mergeCell ref="B3:K3"/>
  </mergeCells>
  <pageMargins left="0.511811024" right="0.511811024" top="0.78740157499999996" bottom="0.78740157499999996" header="0.31496062000000002" footer="0.31496062000000002"/>
  <pageSetup paperSize="9" scale="6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6"/>
  <sheetViews>
    <sheetView view="pageBreakPreview" topLeftCell="A136" zoomScale="55" zoomScaleNormal="100" zoomScaleSheetLayoutView="55" workbookViewId="0">
      <selection activeCell="B169" sqref="B169:K169"/>
    </sheetView>
  </sheetViews>
  <sheetFormatPr defaultRowHeight="12.75" x14ac:dyDescent="0.2"/>
  <cols>
    <col min="1" max="1" width="15.85546875" style="560" customWidth="1"/>
    <col min="2" max="2" width="23.5703125" customWidth="1"/>
    <col min="3" max="3" width="16" customWidth="1"/>
    <col min="4" max="4" width="12.85546875" customWidth="1"/>
    <col min="5" max="5" width="13.140625" customWidth="1"/>
    <col min="6" max="6" width="14.5703125" customWidth="1"/>
    <col min="7" max="7" width="12.85546875" customWidth="1"/>
    <col min="8" max="8" width="12.42578125" customWidth="1"/>
    <col min="9" max="9" width="10.5703125" customWidth="1"/>
    <col min="10" max="10" width="10.28515625" customWidth="1"/>
  </cols>
  <sheetData>
    <row r="1" spans="1:11" ht="7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1" ht="15" x14ac:dyDescent="0.2">
      <c r="A2" s="512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1" ht="15" x14ac:dyDescent="0.2">
      <c r="A3" s="512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1" ht="15" x14ac:dyDescent="0.2">
      <c r="A4" s="512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1" ht="15" x14ac:dyDescent="0.2">
      <c r="A5" s="513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1" x14ac:dyDescent="0.2">
      <c r="A6" s="1870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1" ht="15" x14ac:dyDescent="0.2">
      <c r="A7" s="1871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1" ht="13.5" thickBot="1" x14ac:dyDescent="0.25"/>
    <row r="9" spans="1:11" ht="13.5" thickBot="1" x14ac:dyDescent="0.25">
      <c r="A9" s="1865" t="s">
        <v>90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11" ht="13.5" thickBot="1" x14ac:dyDescent="0.25">
      <c r="A11" s="1865" t="str">
        <f>ORÇ!D99</f>
        <v>Esquadrias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11" x14ac:dyDescent="0.2">
      <c r="A12" s="418"/>
      <c r="B12" s="47"/>
      <c r="C12" s="47"/>
      <c r="D12" s="47"/>
      <c r="E12" s="47"/>
      <c r="F12" s="47"/>
      <c r="G12" s="47"/>
      <c r="H12" s="47"/>
      <c r="I12" s="47"/>
      <c r="J12" s="47"/>
    </row>
    <row r="13" spans="1:11" x14ac:dyDescent="0.2">
      <c r="A13" s="447">
        <f>ORÇ!A99</f>
        <v>9</v>
      </c>
      <c r="B13" s="49" t="str">
        <f>ORÇ!D99</f>
        <v>Esquadrias</v>
      </c>
      <c r="C13" s="50"/>
      <c r="D13" s="48"/>
      <c r="E13" s="48"/>
      <c r="F13" s="48"/>
      <c r="G13" s="48"/>
      <c r="H13" s="48"/>
      <c r="I13" s="48"/>
      <c r="J13" s="48"/>
      <c r="K13" s="48"/>
    </row>
    <row r="14" spans="1:11" x14ac:dyDescent="0.2">
      <c r="A14" s="447"/>
      <c r="B14" s="554" t="str">
        <f>ORÇ!D100</f>
        <v>Janelas</v>
      </c>
      <c r="C14" s="420"/>
      <c r="D14" s="553"/>
      <c r="E14" s="553"/>
      <c r="F14" s="553"/>
      <c r="G14" s="553"/>
      <c r="H14" s="553"/>
      <c r="I14" s="553"/>
      <c r="J14" s="553"/>
      <c r="K14" s="553"/>
    </row>
    <row r="15" spans="1:11" ht="12.75" customHeight="1" x14ac:dyDescent="0.2">
      <c r="C15" s="251"/>
      <c r="D15" s="251"/>
      <c r="E15" s="251"/>
      <c r="F15" s="251"/>
      <c r="G15" s="251"/>
      <c r="H15" s="251"/>
      <c r="I15" s="251"/>
      <c r="J15" s="251"/>
      <c r="K15" s="251"/>
    </row>
    <row r="16" spans="1:11" x14ac:dyDescent="0.2">
      <c r="A16" s="567" t="str">
        <f>ORÇ!A101</f>
        <v>9.1.1</v>
      </c>
      <c r="B16" s="1887" t="str">
        <f>ORÇ!D101</f>
        <v>VERGA MOLDADA IN LOCO COM UTILIZAÇÃO DE BLOCOS CANALETA PARA JANELAS COM MAIS DE 1,5 M DE VÃO. AF_03/2016</v>
      </c>
      <c r="C16" s="1887"/>
      <c r="D16" s="1887"/>
      <c r="E16" s="1887"/>
      <c r="F16" s="1887"/>
      <c r="G16" s="1887"/>
      <c r="H16" s="1887"/>
      <c r="I16" s="1887"/>
      <c r="J16" s="1887"/>
      <c r="K16" s="1887"/>
    </row>
    <row r="17" spans="1:12" x14ac:dyDescent="0.2">
      <c r="A17" s="420"/>
      <c r="B17" s="49"/>
      <c r="C17" s="50"/>
      <c r="D17" s="50"/>
      <c r="E17" s="50"/>
      <c r="F17" s="50"/>
      <c r="G17" s="50"/>
      <c r="H17" s="50"/>
      <c r="I17" s="50"/>
      <c r="J17" s="50"/>
      <c r="K17" s="48"/>
    </row>
    <row r="18" spans="1:12" s="620" customFormat="1" ht="25.5" x14ac:dyDescent="0.2">
      <c r="A18" s="740"/>
      <c r="B18" s="1206" t="s">
        <v>348</v>
      </c>
      <c r="C18" s="1206" t="s">
        <v>356</v>
      </c>
      <c r="D18" s="1206"/>
      <c r="E18" s="1312" t="s">
        <v>357</v>
      </c>
      <c r="F18" s="1206"/>
      <c r="G18" s="1312" t="s">
        <v>1251</v>
      </c>
      <c r="H18" s="1310"/>
      <c r="I18" s="108" t="s">
        <v>250</v>
      </c>
      <c r="J18" s="1206"/>
      <c r="K18" s="1206" t="s">
        <v>255</v>
      </c>
    </row>
    <row r="19" spans="1:12" s="38" customFormat="1" x14ac:dyDescent="0.2">
      <c r="A19" s="555"/>
      <c r="B19" s="688" t="str">
        <f t="shared" ref="B19:C30" si="0">B71</f>
        <v>E1</v>
      </c>
      <c r="C19" s="688">
        <f t="shared" si="0"/>
        <v>2</v>
      </c>
      <c r="D19" s="688" t="s">
        <v>75</v>
      </c>
      <c r="E19" s="688">
        <v>0.3</v>
      </c>
      <c r="F19" s="688" t="s">
        <v>71</v>
      </c>
      <c r="G19" s="688">
        <v>1</v>
      </c>
      <c r="H19" s="1319" t="s">
        <v>71</v>
      </c>
      <c r="I19" s="688">
        <f t="shared" ref="I19:I30" si="1">G71</f>
        <v>1</v>
      </c>
      <c r="J19" s="688" t="s">
        <v>72</v>
      </c>
      <c r="K19" s="1312">
        <f>ROUND(((C19+E19)*G19*I19),2)</f>
        <v>2.2999999999999998</v>
      </c>
    </row>
    <row r="20" spans="1:12" s="38" customFormat="1" x14ac:dyDescent="0.2">
      <c r="A20" s="555"/>
      <c r="B20" s="688" t="str">
        <f t="shared" si="0"/>
        <v>E2</v>
      </c>
      <c r="C20" s="688">
        <f t="shared" si="0"/>
        <v>1.5</v>
      </c>
      <c r="D20" s="688" t="s">
        <v>75</v>
      </c>
      <c r="E20" s="688">
        <v>0.3</v>
      </c>
      <c r="F20" s="688" t="s">
        <v>71</v>
      </c>
      <c r="G20" s="688">
        <f>G19</f>
        <v>1</v>
      </c>
      <c r="H20" s="1319" t="s">
        <v>71</v>
      </c>
      <c r="I20" s="688">
        <f t="shared" si="1"/>
        <v>4</v>
      </c>
      <c r="J20" s="688" t="s">
        <v>72</v>
      </c>
      <c r="K20" s="1312">
        <f>ROUND(((C20+E20)*G20*I20),2)</f>
        <v>7.2</v>
      </c>
    </row>
    <row r="21" spans="1:12" s="38" customFormat="1" x14ac:dyDescent="0.2">
      <c r="A21" s="555"/>
      <c r="B21" s="688" t="str">
        <f t="shared" si="0"/>
        <v>E3</v>
      </c>
      <c r="C21" s="688">
        <f t="shared" si="0"/>
        <v>1.2</v>
      </c>
      <c r="D21" s="688" t="s">
        <v>75</v>
      </c>
      <c r="E21" s="688">
        <v>0.3</v>
      </c>
      <c r="F21" s="688" t="s">
        <v>71</v>
      </c>
      <c r="G21" s="688">
        <f t="shared" ref="G21:G28" si="2">G20</f>
        <v>1</v>
      </c>
      <c r="H21" s="1319" t="s">
        <v>71</v>
      </c>
      <c r="I21" s="688">
        <f t="shared" si="1"/>
        <v>1</v>
      </c>
      <c r="J21" s="688" t="s">
        <v>72</v>
      </c>
      <c r="K21" s="1312">
        <f>ROUND(((C21+E21)*G21*I21),2)</f>
        <v>1.5</v>
      </c>
    </row>
    <row r="22" spans="1:12" s="38" customFormat="1" x14ac:dyDescent="0.2">
      <c r="A22" s="739"/>
      <c r="B22" s="688" t="str">
        <f t="shared" si="0"/>
        <v>E4</v>
      </c>
      <c r="C22" s="688">
        <f t="shared" si="0"/>
        <v>1</v>
      </c>
      <c r="D22" s="688" t="s">
        <v>75</v>
      </c>
      <c r="E22" s="688">
        <v>0.3</v>
      </c>
      <c r="F22" s="688" t="s">
        <v>71</v>
      </c>
      <c r="G22" s="688">
        <f t="shared" si="2"/>
        <v>1</v>
      </c>
      <c r="H22" s="1319" t="s">
        <v>71</v>
      </c>
      <c r="I22" s="688">
        <f t="shared" si="1"/>
        <v>1</v>
      </c>
      <c r="J22" s="688" t="s">
        <v>72</v>
      </c>
      <c r="K22" s="1312">
        <f t="shared" ref="K22:K30" si="3">ROUND(((C22+E22)*G22*I22),2)</f>
        <v>1.3</v>
      </c>
      <c r="L22" s="746"/>
    </row>
    <row r="23" spans="1:12" s="38" customFormat="1" x14ac:dyDescent="0.2">
      <c r="A23" s="739"/>
      <c r="B23" s="688" t="str">
        <f t="shared" si="0"/>
        <v>E5</v>
      </c>
      <c r="C23" s="688">
        <f t="shared" si="0"/>
        <v>0.8</v>
      </c>
      <c r="D23" s="688" t="s">
        <v>75</v>
      </c>
      <c r="E23" s="688">
        <v>0.3</v>
      </c>
      <c r="F23" s="688" t="s">
        <v>71</v>
      </c>
      <c r="G23" s="688">
        <f t="shared" si="2"/>
        <v>1</v>
      </c>
      <c r="H23" s="1319" t="s">
        <v>71</v>
      </c>
      <c r="I23" s="688">
        <f t="shared" si="1"/>
        <v>1</v>
      </c>
      <c r="J23" s="688" t="s">
        <v>72</v>
      </c>
      <c r="K23" s="1312">
        <f t="shared" si="3"/>
        <v>1.1000000000000001</v>
      </c>
      <c r="L23" s="746"/>
    </row>
    <row r="24" spans="1:12" s="38" customFormat="1" x14ac:dyDescent="0.2">
      <c r="A24" s="739"/>
      <c r="B24" s="688" t="str">
        <f t="shared" si="0"/>
        <v>E6</v>
      </c>
      <c r="C24" s="688">
        <f t="shared" si="0"/>
        <v>0.6</v>
      </c>
      <c r="D24" s="688" t="s">
        <v>75</v>
      </c>
      <c r="E24" s="688">
        <v>0.3</v>
      </c>
      <c r="F24" s="688" t="s">
        <v>71</v>
      </c>
      <c r="G24" s="688">
        <f t="shared" si="2"/>
        <v>1</v>
      </c>
      <c r="H24" s="1319" t="s">
        <v>71</v>
      </c>
      <c r="I24" s="688">
        <f t="shared" si="1"/>
        <v>1</v>
      </c>
      <c r="J24" s="688" t="s">
        <v>72</v>
      </c>
      <c r="K24" s="1312">
        <f t="shared" si="3"/>
        <v>0.9</v>
      </c>
      <c r="L24" s="746"/>
    </row>
    <row r="25" spans="1:12" s="38" customFormat="1" x14ac:dyDescent="0.2">
      <c r="A25" s="739"/>
      <c r="B25" s="688" t="str">
        <f t="shared" si="0"/>
        <v>E7</v>
      </c>
      <c r="C25" s="688">
        <f t="shared" si="0"/>
        <v>1.4</v>
      </c>
      <c r="D25" s="688" t="s">
        <v>75</v>
      </c>
      <c r="E25" s="688">
        <v>0.3</v>
      </c>
      <c r="F25" s="688" t="s">
        <v>71</v>
      </c>
      <c r="G25" s="688">
        <f>G24</f>
        <v>1</v>
      </c>
      <c r="H25" s="1319" t="s">
        <v>71</v>
      </c>
      <c r="I25" s="688">
        <f t="shared" si="1"/>
        <v>2</v>
      </c>
      <c r="J25" s="688" t="s">
        <v>72</v>
      </c>
      <c r="K25" s="1312">
        <f t="shared" si="3"/>
        <v>3.4</v>
      </c>
      <c r="L25" s="746"/>
    </row>
    <row r="26" spans="1:12" s="38" customFormat="1" ht="11.25" customHeight="1" x14ac:dyDescent="0.2">
      <c r="A26" s="739"/>
      <c r="B26" s="688" t="str">
        <f t="shared" si="0"/>
        <v>E9</v>
      </c>
      <c r="C26" s="688">
        <f t="shared" si="0"/>
        <v>2.2999999999999998</v>
      </c>
      <c r="D26" s="688" t="s">
        <v>75</v>
      </c>
      <c r="E26" s="688">
        <v>0.3</v>
      </c>
      <c r="F26" s="688" t="s">
        <v>71</v>
      </c>
      <c r="G26" s="688">
        <f t="shared" si="2"/>
        <v>1</v>
      </c>
      <c r="H26" s="1319" t="s">
        <v>71</v>
      </c>
      <c r="I26" s="688">
        <f t="shared" si="1"/>
        <v>1</v>
      </c>
      <c r="J26" s="688" t="s">
        <v>72</v>
      </c>
      <c r="K26" s="1312">
        <f t="shared" si="3"/>
        <v>2.6</v>
      </c>
      <c r="L26" s="746"/>
    </row>
    <row r="27" spans="1:12" s="38" customFormat="1" x14ac:dyDescent="0.2">
      <c r="A27" s="739"/>
      <c r="B27" s="688" t="str">
        <f t="shared" si="0"/>
        <v>E10</v>
      </c>
      <c r="C27" s="688">
        <f t="shared" si="0"/>
        <v>3</v>
      </c>
      <c r="D27" s="688" t="s">
        <v>75</v>
      </c>
      <c r="E27" s="688">
        <v>0.3</v>
      </c>
      <c r="F27" s="688" t="s">
        <v>71</v>
      </c>
      <c r="G27" s="688">
        <f t="shared" si="2"/>
        <v>1</v>
      </c>
      <c r="H27" s="1319" t="s">
        <v>71</v>
      </c>
      <c r="I27" s="688">
        <f t="shared" si="1"/>
        <v>1</v>
      </c>
      <c r="J27" s="688" t="s">
        <v>72</v>
      </c>
      <c r="K27" s="1312">
        <f t="shared" si="3"/>
        <v>3.3</v>
      </c>
      <c r="L27" s="746"/>
    </row>
    <row r="28" spans="1:12" s="38" customFormat="1" x14ac:dyDescent="0.2">
      <c r="A28" s="739"/>
      <c r="B28" s="688" t="str">
        <f t="shared" si="0"/>
        <v>E11</v>
      </c>
      <c r="C28" s="688">
        <f t="shared" si="0"/>
        <v>3.5</v>
      </c>
      <c r="D28" s="688" t="s">
        <v>75</v>
      </c>
      <c r="E28" s="688">
        <v>0.3</v>
      </c>
      <c r="F28" s="688" t="s">
        <v>71</v>
      </c>
      <c r="G28" s="688">
        <f t="shared" si="2"/>
        <v>1</v>
      </c>
      <c r="H28" s="1319" t="s">
        <v>71</v>
      </c>
      <c r="I28" s="688">
        <f t="shared" si="1"/>
        <v>1</v>
      </c>
      <c r="J28" s="688" t="s">
        <v>72</v>
      </c>
      <c r="K28" s="1312">
        <f t="shared" si="3"/>
        <v>3.8</v>
      </c>
      <c r="L28" s="746"/>
    </row>
    <row r="29" spans="1:12" s="38" customFormat="1" x14ac:dyDescent="0.2">
      <c r="A29" s="739"/>
      <c r="B29" s="688" t="str">
        <f t="shared" si="0"/>
        <v>E12</v>
      </c>
      <c r="C29" s="688">
        <f t="shared" si="0"/>
        <v>3.3</v>
      </c>
      <c r="D29" s="688" t="s">
        <v>75</v>
      </c>
      <c r="E29" s="688">
        <v>0.3</v>
      </c>
      <c r="F29" s="688" t="s">
        <v>71</v>
      </c>
      <c r="G29" s="688">
        <f>G28</f>
        <v>1</v>
      </c>
      <c r="H29" s="1319" t="s">
        <v>71</v>
      </c>
      <c r="I29" s="688">
        <f t="shared" si="1"/>
        <v>1</v>
      </c>
      <c r="J29" s="688" t="s">
        <v>72</v>
      </c>
      <c r="K29" s="1312">
        <f t="shared" si="3"/>
        <v>3.6</v>
      </c>
      <c r="L29" s="746"/>
    </row>
    <row r="30" spans="1:12" s="38" customFormat="1" x14ac:dyDescent="0.2">
      <c r="A30" s="739"/>
      <c r="B30" s="688" t="str">
        <f t="shared" si="0"/>
        <v>E13</v>
      </c>
      <c r="C30" s="688">
        <f t="shared" si="0"/>
        <v>3.7</v>
      </c>
      <c r="D30" s="688" t="s">
        <v>75</v>
      </c>
      <c r="E30" s="688">
        <v>0.3</v>
      </c>
      <c r="F30" s="688" t="s">
        <v>71</v>
      </c>
      <c r="G30" s="688">
        <f>G29</f>
        <v>1</v>
      </c>
      <c r="H30" s="1319" t="s">
        <v>71</v>
      </c>
      <c r="I30" s="688">
        <f t="shared" si="1"/>
        <v>1</v>
      </c>
      <c r="J30" s="688" t="s">
        <v>72</v>
      </c>
      <c r="K30" s="1312">
        <f t="shared" si="3"/>
        <v>4</v>
      </c>
      <c r="L30" s="746"/>
    </row>
    <row r="31" spans="1:12" s="38" customFormat="1" x14ac:dyDescent="0.2">
      <c r="A31" s="1208"/>
      <c r="B31" s="688" t="str">
        <f>B54</f>
        <v>E14</v>
      </c>
      <c r="C31" s="688">
        <f>C54</f>
        <v>4</v>
      </c>
      <c r="D31" s="688" t="s">
        <v>75</v>
      </c>
      <c r="E31" s="688">
        <v>0.3</v>
      </c>
      <c r="F31" s="688" t="s">
        <v>71</v>
      </c>
      <c r="G31" s="688">
        <f>G30</f>
        <v>1</v>
      </c>
      <c r="H31" s="1319" t="s">
        <v>71</v>
      </c>
      <c r="I31" s="688">
        <f>G54</f>
        <v>2</v>
      </c>
      <c r="J31" s="688" t="s">
        <v>72</v>
      </c>
      <c r="K31" s="1312">
        <f t="shared" ref="K31" si="4">ROUND(((C31+E31)*G31*I31),2)</f>
        <v>8.6</v>
      </c>
      <c r="L31" s="1204"/>
    </row>
    <row r="32" spans="1:12" s="38" customFormat="1" x14ac:dyDescent="0.2">
      <c r="A32" s="1329"/>
      <c r="B32" s="688" t="str">
        <f>B96</f>
        <v>V1</v>
      </c>
      <c r="C32" s="688">
        <f>C96</f>
        <v>2</v>
      </c>
      <c r="D32" s="688" t="s">
        <v>75</v>
      </c>
      <c r="E32" s="688">
        <f>E31</f>
        <v>0.3</v>
      </c>
      <c r="F32" s="688" t="s">
        <v>71</v>
      </c>
      <c r="G32" s="688">
        <f t="shared" ref="G32:G34" si="5">G31</f>
        <v>1</v>
      </c>
      <c r="H32" s="1319" t="s">
        <v>71</v>
      </c>
      <c r="I32" s="688">
        <f>G96</f>
        <v>5</v>
      </c>
      <c r="J32" s="688" t="s">
        <v>72</v>
      </c>
      <c r="K32" s="1312">
        <f t="shared" ref="K32:K34" si="6">ROUND(((C32+E32)*G32*I32),2)</f>
        <v>11.5</v>
      </c>
      <c r="L32" s="1317"/>
    </row>
    <row r="33" spans="1:12" s="38" customFormat="1" x14ac:dyDescent="0.2">
      <c r="A33" s="1329"/>
      <c r="B33" s="688" t="str">
        <f t="shared" ref="B33:C34" si="7">B97</f>
        <v>V2</v>
      </c>
      <c r="C33" s="688">
        <f t="shared" si="7"/>
        <v>1</v>
      </c>
      <c r="D33" s="688" t="s">
        <v>75</v>
      </c>
      <c r="E33" s="688">
        <f t="shared" ref="E33:E34" si="8">E32</f>
        <v>0.3</v>
      </c>
      <c r="F33" s="688" t="s">
        <v>71</v>
      </c>
      <c r="G33" s="688">
        <f t="shared" si="5"/>
        <v>1</v>
      </c>
      <c r="H33" s="1319" t="s">
        <v>71</v>
      </c>
      <c r="I33" s="688">
        <f t="shared" ref="I33:I34" si="9">G97</f>
        <v>1</v>
      </c>
      <c r="J33" s="688" t="s">
        <v>72</v>
      </c>
      <c r="K33" s="1312">
        <f t="shared" si="6"/>
        <v>1.3</v>
      </c>
      <c r="L33" s="1317"/>
    </row>
    <row r="34" spans="1:12" s="38" customFormat="1" x14ac:dyDescent="0.2">
      <c r="A34" s="1329"/>
      <c r="B34" s="688" t="str">
        <f t="shared" si="7"/>
        <v>V3</v>
      </c>
      <c r="C34" s="688">
        <f t="shared" si="7"/>
        <v>1.5</v>
      </c>
      <c r="D34" s="688" t="s">
        <v>75</v>
      </c>
      <c r="E34" s="688">
        <f t="shared" si="8"/>
        <v>0.3</v>
      </c>
      <c r="F34" s="688" t="s">
        <v>71</v>
      </c>
      <c r="G34" s="688">
        <f t="shared" si="5"/>
        <v>1</v>
      </c>
      <c r="H34" s="1319" t="s">
        <v>71</v>
      </c>
      <c r="I34" s="688">
        <f t="shared" si="9"/>
        <v>1</v>
      </c>
      <c r="J34" s="688" t="s">
        <v>72</v>
      </c>
      <c r="K34" s="1312">
        <f t="shared" si="6"/>
        <v>1.8</v>
      </c>
      <c r="L34" s="1317"/>
    </row>
    <row r="35" spans="1:12" s="38" customFormat="1" ht="13.5" thickBot="1" x14ac:dyDescent="0.25">
      <c r="A35" s="555"/>
      <c r="B35" s="385"/>
      <c r="C35" s="555"/>
      <c r="D35" s="555"/>
      <c r="E35" s="555"/>
      <c r="F35" s="555"/>
      <c r="G35" s="555"/>
      <c r="H35" s="555"/>
      <c r="J35" s="555"/>
      <c r="K35" s="555"/>
      <c r="L35" s="568"/>
    </row>
    <row r="36" spans="1:12" s="331" customFormat="1" ht="26.25" thickBot="1" x14ac:dyDescent="0.25">
      <c r="A36" s="556"/>
      <c r="B36" s="1363" t="s">
        <v>585</v>
      </c>
      <c r="C36" s="818">
        <f>SUM(K19:K35)</f>
        <v>58.199999999999996</v>
      </c>
      <c r="D36" s="819" t="s">
        <v>17</v>
      </c>
      <c r="E36" s="556"/>
      <c r="F36" s="556"/>
      <c r="G36" s="556"/>
      <c r="H36" s="556"/>
      <c r="J36" s="556"/>
      <c r="K36" s="556"/>
      <c r="L36" s="568"/>
    </row>
    <row r="37" spans="1:12" s="38" customFormat="1" x14ac:dyDescent="0.2">
      <c r="A37" s="555"/>
      <c r="B37" s="385"/>
      <c r="C37" s="555"/>
      <c r="D37" s="555"/>
      <c r="E37" s="555"/>
      <c r="F37" s="555"/>
      <c r="G37" s="555"/>
      <c r="H37" s="555"/>
      <c r="J37" s="555"/>
      <c r="K37" s="555"/>
      <c r="L37" s="568"/>
    </row>
    <row r="38" spans="1:12" ht="12.75" customHeight="1" x14ac:dyDescent="0.2">
      <c r="A38" s="1230" t="str">
        <f>ORÇ!A102</f>
        <v>9.1.2</v>
      </c>
      <c r="B38" s="1887" t="str">
        <f>ORÇ!D102</f>
        <v>Esquadria basculante em vidro temperado de 6mm</v>
      </c>
      <c r="C38" s="1887"/>
      <c r="D38" s="1887"/>
      <c r="E38" s="1887"/>
      <c r="F38" s="1887"/>
      <c r="G38" s="1887"/>
      <c r="H38" s="1887"/>
      <c r="I38" s="1887"/>
      <c r="J38" s="1887"/>
      <c r="K38" s="1887"/>
    </row>
    <row r="39" spans="1:12" ht="12.75" customHeight="1" x14ac:dyDescent="0.2">
      <c r="A39" s="1230"/>
      <c r="B39" s="1220"/>
      <c r="C39" s="1220"/>
      <c r="D39" s="1220"/>
      <c r="E39" s="1220"/>
      <c r="F39" s="1220"/>
      <c r="G39" s="1220"/>
      <c r="H39" s="1220"/>
      <c r="I39" s="1220"/>
      <c r="J39" s="1220"/>
      <c r="K39" s="1220"/>
    </row>
    <row r="40" spans="1:12" x14ac:dyDescent="0.2">
      <c r="A40" s="567"/>
      <c r="B40" s="1312" t="s">
        <v>348</v>
      </c>
      <c r="C40" s="1312" t="s">
        <v>225</v>
      </c>
      <c r="D40" s="1312"/>
      <c r="E40" s="1312" t="s">
        <v>291</v>
      </c>
      <c r="F40" s="1312"/>
      <c r="G40" s="1312" t="s">
        <v>250</v>
      </c>
      <c r="H40" s="1312"/>
      <c r="I40" s="1312" t="s">
        <v>263</v>
      </c>
    </row>
    <row r="41" spans="1:12" x14ac:dyDescent="0.2">
      <c r="A41" s="567"/>
      <c r="B41" s="1328" t="s">
        <v>514</v>
      </c>
      <c r="C41" s="1312">
        <v>2</v>
      </c>
      <c r="D41" s="1312" t="s">
        <v>71</v>
      </c>
      <c r="E41" s="688">
        <v>0.5</v>
      </c>
      <c r="F41" s="1312" t="s">
        <v>71</v>
      </c>
      <c r="G41" s="1312">
        <v>1</v>
      </c>
      <c r="H41" s="1312" t="s">
        <v>72</v>
      </c>
      <c r="I41" s="672">
        <f>ROUND((C41*E41*G41),2)</f>
        <v>1</v>
      </c>
    </row>
    <row r="42" spans="1:12" x14ac:dyDescent="0.2">
      <c r="A42" s="567"/>
      <c r="B42" s="1328" t="s">
        <v>515</v>
      </c>
      <c r="C42" s="1328">
        <v>1.5</v>
      </c>
      <c r="D42" s="1328" t="s">
        <v>71</v>
      </c>
      <c r="E42" s="529">
        <f>E41</f>
        <v>0.5</v>
      </c>
      <c r="F42" s="1328" t="s">
        <v>71</v>
      </c>
      <c r="G42" s="1328">
        <v>4</v>
      </c>
      <c r="H42" s="1328" t="s">
        <v>72</v>
      </c>
      <c r="I42" s="1235">
        <f>ROUND((C42*E42*G42),2)</f>
        <v>3</v>
      </c>
    </row>
    <row r="43" spans="1:12" ht="13.5" customHeight="1" x14ac:dyDescent="0.2">
      <c r="A43" s="690"/>
      <c r="B43" s="1328" t="s">
        <v>1386</v>
      </c>
      <c r="C43" s="1328">
        <v>1.2</v>
      </c>
      <c r="D43" s="1328" t="s">
        <v>71</v>
      </c>
      <c r="E43" s="529">
        <f t="shared" ref="E43:E54" si="10">E42</f>
        <v>0.5</v>
      </c>
      <c r="F43" s="1328" t="s">
        <v>71</v>
      </c>
      <c r="G43" s="1328">
        <v>1</v>
      </c>
      <c r="H43" s="1328" t="s">
        <v>72</v>
      </c>
      <c r="I43" s="1235">
        <f t="shared" ref="I43:I45" si="11">ROUND((C43*E43*G43),2)</f>
        <v>0.6</v>
      </c>
    </row>
    <row r="44" spans="1:12" x14ac:dyDescent="0.2">
      <c r="A44" s="690"/>
      <c r="B44" s="1328" t="s">
        <v>516</v>
      </c>
      <c r="C44" s="1328">
        <v>1</v>
      </c>
      <c r="D44" s="1328" t="s">
        <v>71</v>
      </c>
      <c r="E44" s="529">
        <f t="shared" si="10"/>
        <v>0.5</v>
      </c>
      <c r="F44" s="1328" t="s">
        <v>71</v>
      </c>
      <c r="G44" s="1328">
        <v>1</v>
      </c>
      <c r="H44" s="1328" t="s">
        <v>72</v>
      </c>
      <c r="I44" s="1235">
        <f t="shared" si="11"/>
        <v>0.5</v>
      </c>
    </row>
    <row r="45" spans="1:12" x14ac:dyDescent="0.2">
      <c r="A45" s="1321"/>
      <c r="B45" s="1328" t="s">
        <v>517</v>
      </c>
      <c r="C45" s="1328">
        <v>0.8</v>
      </c>
      <c r="D45" s="1328" t="s">
        <v>71</v>
      </c>
      <c r="E45" s="529">
        <f t="shared" si="10"/>
        <v>0.5</v>
      </c>
      <c r="F45" s="1328" t="s">
        <v>71</v>
      </c>
      <c r="G45" s="1328">
        <v>1</v>
      </c>
      <c r="H45" s="1328" t="s">
        <v>72</v>
      </c>
      <c r="I45" s="1235">
        <f t="shared" si="11"/>
        <v>0.4</v>
      </c>
    </row>
    <row r="46" spans="1:12" x14ac:dyDescent="0.2">
      <c r="A46" s="690"/>
      <c r="B46" s="1328" t="s">
        <v>518</v>
      </c>
      <c r="C46" s="1328">
        <v>0.6</v>
      </c>
      <c r="D46" s="1328" t="s">
        <v>71</v>
      </c>
      <c r="E46" s="529">
        <f t="shared" si="10"/>
        <v>0.5</v>
      </c>
      <c r="F46" s="1328" t="s">
        <v>71</v>
      </c>
      <c r="G46" s="1328">
        <v>1</v>
      </c>
      <c r="H46" s="1328" t="s">
        <v>72</v>
      </c>
      <c r="I46" s="1235">
        <f>ROUND((C46*E46*G46),2)</f>
        <v>0.3</v>
      </c>
    </row>
    <row r="47" spans="1:12" x14ac:dyDescent="0.2">
      <c r="A47" s="690"/>
      <c r="B47" s="1328" t="s">
        <v>779</v>
      </c>
      <c r="C47" s="1312">
        <v>1.4</v>
      </c>
      <c r="D47" s="1312" t="s">
        <v>71</v>
      </c>
      <c r="E47" s="529">
        <f t="shared" si="10"/>
        <v>0.5</v>
      </c>
      <c r="F47" s="1312" t="s">
        <v>71</v>
      </c>
      <c r="G47" s="1312">
        <v>2</v>
      </c>
      <c r="H47" s="1312" t="s">
        <v>72</v>
      </c>
      <c r="I47" s="672">
        <f t="shared" ref="I47" si="12">ROUND((C47*E47*G47),2)</f>
        <v>1.4</v>
      </c>
    </row>
    <row r="48" spans="1:12" x14ac:dyDescent="0.2">
      <c r="A48" s="1321"/>
      <c r="B48" s="1328" t="s">
        <v>1387</v>
      </c>
      <c r="C48" s="1328">
        <v>2.5</v>
      </c>
      <c r="D48" s="1328" t="s">
        <v>71</v>
      </c>
      <c r="E48" s="529">
        <f t="shared" si="10"/>
        <v>0.5</v>
      </c>
      <c r="F48" s="1328" t="s">
        <v>71</v>
      </c>
      <c r="G48" s="1328">
        <v>2</v>
      </c>
      <c r="H48" s="1328" t="s">
        <v>72</v>
      </c>
      <c r="I48" s="1235">
        <f>ROUND((C48*E48*G48),2)</f>
        <v>2.5</v>
      </c>
    </row>
    <row r="49" spans="1:11" s="379" customFormat="1" x14ac:dyDescent="0.2">
      <c r="A49" s="477"/>
      <c r="B49" s="1328" t="s">
        <v>782</v>
      </c>
      <c r="C49" s="1328">
        <v>2.2999999999999998</v>
      </c>
      <c r="D49" s="1328" t="s">
        <v>71</v>
      </c>
      <c r="E49" s="529">
        <f t="shared" si="10"/>
        <v>0.5</v>
      </c>
      <c r="F49" s="1328" t="s">
        <v>71</v>
      </c>
      <c r="G49" s="1328">
        <v>1</v>
      </c>
      <c r="H49" s="1328" t="s">
        <v>72</v>
      </c>
      <c r="I49" s="1235">
        <f t="shared" ref="I49:I54" si="13">ROUND((C49*E49*G49),2)</f>
        <v>1.1499999999999999</v>
      </c>
      <c r="J49"/>
    </row>
    <row r="50" spans="1:11" x14ac:dyDescent="0.2">
      <c r="A50" s="877"/>
      <c r="B50" s="1328" t="s">
        <v>780</v>
      </c>
      <c r="C50" s="1312">
        <v>3</v>
      </c>
      <c r="D50" s="1312" t="s">
        <v>71</v>
      </c>
      <c r="E50" s="529">
        <f t="shared" si="10"/>
        <v>0.5</v>
      </c>
      <c r="F50" s="1312" t="s">
        <v>71</v>
      </c>
      <c r="G50" s="1312">
        <v>1</v>
      </c>
      <c r="H50" s="1312" t="s">
        <v>72</v>
      </c>
      <c r="I50" s="672">
        <f t="shared" si="13"/>
        <v>1.5</v>
      </c>
    </row>
    <row r="51" spans="1:11" x14ac:dyDescent="0.2">
      <c r="A51" s="877"/>
      <c r="B51" s="1328" t="s">
        <v>1388</v>
      </c>
      <c r="C51" s="1328">
        <v>3.5</v>
      </c>
      <c r="D51" s="1328" t="s">
        <v>71</v>
      </c>
      <c r="E51" s="529">
        <f t="shared" si="10"/>
        <v>0.5</v>
      </c>
      <c r="F51" s="1328" t="s">
        <v>71</v>
      </c>
      <c r="G51" s="1328">
        <v>1</v>
      </c>
      <c r="H51" s="1312" t="s">
        <v>72</v>
      </c>
      <c r="I51" s="672">
        <f t="shared" si="13"/>
        <v>1.75</v>
      </c>
    </row>
    <row r="52" spans="1:11" x14ac:dyDescent="0.2">
      <c r="A52" s="877"/>
      <c r="B52" s="1328" t="s">
        <v>783</v>
      </c>
      <c r="C52" s="1312">
        <v>3.3</v>
      </c>
      <c r="D52" s="1312" t="s">
        <v>71</v>
      </c>
      <c r="E52" s="529">
        <f t="shared" si="10"/>
        <v>0.5</v>
      </c>
      <c r="F52" s="1312" t="s">
        <v>71</v>
      </c>
      <c r="G52" s="1312">
        <v>1</v>
      </c>
      <c r="H52" s="1312" t="s">
        <v>72</v>
      </c>
      <c r="I52" s="672">
        <f t="shared" si="13"/>
        <v>1.65</v>
      </c>
    </row>
    <row r="53" spans="1:11" x14ac:dyDescent="0.2">
      <c r="A53" s="877"/>
      <c r="B53" s="1328" t="s">
        <v>781</v>
      </c>
      <c r="C53" s="1312">
        <v>3.7</v>
      </c>
      <c r="D53" s="1312" t="s">
        <v>71</v>
      </c>
      <c r="E53" s="529">
        <f t="shared" si="10"/>
        <v>0.5</v>
      </c>
      <c r="F53" s="1312" t="s">
        <v>71</v>
      </c>
      <c r="G53" s="1312">
        <v>1</v>
      </c>
      <c r="H53" s="1312" t="s">
        <v>72</v>
      </c>
      <c r="I53" s="672">
        <f t="shared" si="13"/>
        <v>1.85</v>
      </c>
    </row>
    <row r="54" spans="1:11" x14ac:dyDescent="0.2">
      <c r="A54" s="1205"/>
      <c r="B54" s="1328" t="s">
        <v>1198</v>
      </c>
      <c r="C54" s="1312">
        <v>4</v>
      </c>
      <c r="D54" s="1312" t="s">
        <v>71</v>
      </c>
      <c r="E54" s="529">
        <f t="shared" si="10"/>
        <v>0.5</v>
      </c>
      <c r="F54" s="1312" t="s">
        <v>71</v>
      </c>
      <c r="G54" s="1312">
        <v>2</v>
      </c>
      <c r="H54" s="1312" t="s">
        <v>72</v>
      </c>
      <c r="I54" s="672">
        <f t="shared" si="13"/>
        <v>4</v>
      </c>
    </row>
    <row r="55" spans="1:11" ht="13.5" thickBot="1" x14ac:dyDescent="0.25">
      <c r="A55" s="877"/>
      <c r="B55" s="503"/>
      <c r="C55" s="875"/>
      <c r="D55" s="875"/>
      <c r="E55" s="875"/>
      <c r="F55" s="421"/>
      <c r="G55" s="875"/>
      <c r="H55" s="875"/>
      <c r="I55" s="875"/>
      <c r="K55" s="871"/>
    </row>
    <row r="56" spans="1:11" ht="13.5" thickBot="1" x14ac:dyDescent="0.25">
      <c r="A56" s="567"/>
      <c r="B56" s="817" t="s">
        <v>310</v>
      </c>
      <c r="C56" s="818">
        <f>SUM(I41:I54)</f>
        <v>21.6</v>
      </c>
      <c r="D56" s="819" t="s">
        <v>6</v>
      </c>
      <c r="E56" s="558"/>
      <c r="F56" s="558"/>
      <c r="G56" s="558"/>
      <c r="H56" s="558"/>
      <c r="I56" s="558"/>
      <c r="K56" s="558"/>
    </row>
    <row r="57" spans="1:11" x14ac:dyDescent="0.2">
      <c r="A57" s="567"/>
      <c r="B57" s="558"/>
      <c r="C57" s="558"/>
      <c r="D57" s="558"/>
      <c r="E57" s="558"/>
      <c r="F57" s="558"/>
      <c r="G57" s="558"/>
      <c r="H57" s="558"/>
      <c r="I57" s="558"/>
      <c r="J57" s="558"/>
      <c r="K57" s="558"/>
    </row>
    <row r="58" spans="1:11" s="38" customFormat="1" x14ac:dyDescent="0.2">
      <c r="A58" s="555"/>
      <c r="B58" s="423"/>
      <c r="C58" s="423"/>
      <c r="D58" s="423"/>
      <c r="E58" s="423"/>
      <c r="F58" s="423"/>
      <c r="G58" s="423"/>
      <c r="H58" s="423"/>
      <c r="I58" s="423"/>
      <c r="J58" s="423"/>
      <c r="K58" s="423"/>
    </row>
    <row r="59" spans="1:11" x14ac:dyDescent="0.2">
      <c r="A59" s="1961" t="str">
        <f>ORÇ!A103</f>
        <v>9.1.3</v>
      </c>
      <c r="B59" s="1887" t="str">
        <f>ORÇ!D103</f>
        <v>ALVENARIA DE VEDAÇÃO COM ELEMENTO VAZADO DE CERÂMICA (COBOGÓ) DE 7X20X20CM E ARGAMASSA DE ASSENTAMENTO COM PREPARO EM BETONEIRA. AF_05/2020</v>
      </c>
      <c r="C59" s="1887"/>
      <c r="D59" s="1887"/>
      <c r="E59" s="1887"/>
      <c r="F59" s="1887"/>
      <c r="G59" s="1887"/>
      <c r="H59" s="1887"/>
      <c r="I59" s="1887"/>
      <c r="J59" s="1887"/>
      <c r="K59" s="1887"/>
    </row>
    <row r="60" spans="1:11" x14ac:dyDescent="0.2">
      <c r="A60" s="1961"/>
      <c r="B60" s="1887"/>
      <c r="C60" s="1887"/>
      <c r="D60" s="1887"/>
      <c r="E60" s="1887"/>
      <c r="F60" s="1887"/>
      <c r="G60" s="1887"/>
      <c r="H60" s="1887"/>
      <c r="I60" s="1887"/>
      <c r="J60" s="1887"/>
      <c r="K60" s="1887"/>
    </row>
    <row r="61" spans="1:11" x14ac:dyDescent="0.2">
      <c r="A61" s="377"/>
      <c r="B61" s="558"/>
      <c r="C61" s="558"/>
      <c r="D61" s="558"/>
      <c r="E61" s="558"/>
      <c r="F61" s="558"/>
      <c r="G61" s="558"/>
      <c r="H61" s="558"/>
      <c r="I61" s="558"/>
      <c r="J61" s="558"/>
      <c r="K61" s="558"/>
    </row>
    <row r="62" spans="1:11" s="38" customFormat="1" x14ac:dyDescent="0.2">
      <c r="A62" s="565"/>
      <c r="B62" s="1923" t="s">
        <v>290</v>
      </c>
      <c r="C62" s="1923"/>
      <c r="D62" s="711" t="s">
        <v>250</v>
      </c>
      <c r="E62" s="711"/>
      <c r="F62" s="711" t="s">
        <v>225</v>
      </c>
      <c r="G62" s="711"/>
      <c r="H62" s="704" t="s">
        <v>291</v>
      </c>
      <c r="I62" s="711"/>
      <c r="J62" s="711" t="s">
        <v>263</v>
      </c>
      <c r="K62" s="453"/>
    </row>
    <row r="63" spans="1:11" s="38" customFormat="1" x14ac:dyDescent="0.2">
      <c r="A63" s="908"/>
      <c r="B63" s="1929" t="s">
        <v>831</v>
      </c>
      <c r="C63" s="1929"/>
      <c r="D63" s="909">
        <v>1</v>
      </c>
      <c r="E63" s="711" t="s">
        <v>71</v>
      </c>
      <c r="F63" s="710">
        <v>5.15</v>
      </c>
      <c r="G63" s="713" t="s">
        <v>71</v>
      </c>
      <c r="H63" s="710">
        <v>1.3</v>
      </c>
      <c r="I63" s="710" t="s">
        <v>72</v>
      </c>
      <c r="J63" s="710">
        <f>ROUND((D63*F63*H63),2)</f>
        <v>6.7</v>
      </c>
      <c r="K63" s="453"/>
    </row>
    <row r="64" spans="1:11" s="38" customFormat="1" ht="13.5" thickBot="1" x14ac:dyDescent="0.25">
      <c r="A64" s="565"/>
      <c r="B64" s="453"/>
      <c r="C64" s="453"/>
      <c r="D64" s="453"/>
      <c r="E64" s="453"/>
      <c r="F64" s="453"/>
      <c r="G64" s="453"/>
      <c r="H64" s="453"/>
      <c r="I64" s="453"/>
      <c r="J64" s="453"/>
      <c r="K64" s="453"/>
    </row>
    <row r="65" spans="1:11" s="38" customFormat="1" ht="13.5" thickBot="1" x14ac:dyDescent="0.25">
      <c r="A65" s="908"/>
      <c r="B65" s="817" t="s">
        <v>86</v>
      </c>
      <c r="C65" s="818">
        <f>SUM(J63:J63)</f>
        <v>6.7</v>
      </c>
      <c r="D65" s="819" t="s">
        <v>6</v>
      </c>
      <c r="E65" s="453"/>
      <c r="F65" s="453"/>
      <c r="G65" s="453"/>
      <c r="H65" s="453"/>
      <c r="I65" s="453"/>
      <c r="J65" s="453"/>
      <c r="K65" s="453"/>
    </row>
    <row r="66" spans="1:11" x14ac:dyDescent="0.2">
      <c r="A66" s="420"/>
      <c r="B66" s="56"/>
      <c r="C66" s="55"/>
      <c r="D66" s="55"/>
      <c r="E66" s="55"/>
      <c r="F66" s="55"/>
      <c r="G66" s="55"/>
      <c r="H66" s="55"/>
      <c r="I66" s="55"/>
      <c r="J66" s="55"/>
      <c r="K66" s="54"/>
    </row>
    <row r="67" spans="1:11" ht="12.75" customHeight="1" x14ac:dyDescent="0.2">
      <c r="A67" s="1941" t="str">
        <f>ORÇ!A104</f>
        <v>9.1.4</v>
      </c>
      <c r="B67" s="1887" t="str">
        <f>ORÇ!D104</f>
        <v>PEITORIL LINEAR EM GRANITO OU MÁRMORE, L = 15CM, COMPRIMENTO DE ATÉ 2M, ASSENTADO COM ARGAMASSA 1:6 COM ADITIVO. AF_11/2020</v>
      </c>
      <c r="C67" s="1887"/>
      <c r="D67" s="1887"/>
      <c r="E67" s="1887"/>
      <c r="F67" s="1887"/>
      <c r="G67" s="1887"/>
      <c r="H67" s="1887"/>
      <c r="I67" s="1887"/>
      <c r="J67" s="1887"/>
      <c r="K67" s="1887"/>
    </row>
    <row r="68" spans="1:11" x14ac:dyDescent="0.2">
      <c r="A68" s="1941"/>
      <c r="B68" s="1887"/>
      <c r="C68" s="1887"/>
      <c r="D68" s="1887"/>
      <c r="E68" s="1887"/>
      <c r="F68" s="1887"/>
      <c r="G68" s="1887"/>
      <c r="H68" s="1887"/>
      <c r="I68" s="1887"/>
      <c r="J68" s="1887"/>
      <c r="K68" s="1887"/>
    </row>
    <row r="69" spans="1:11" x14ac:dyDescent="0.2">
      <c r="A69" s="567"/>
      <c r="B69" s="558"/>
      <c r="C69" s="558"/>
      <c r="D69" s="558"/>
      <c r="E69" s="558"/>
      <c r="F69" s="558"/>
      <c r="G69" s="558"/>
      <c r="H69" s="558"/>
      <c r="I69" s="558"/>
      <c r="J69" s="558"/>
      <c r="K69" s="558"/>
    </row>
    <row r="70" spans="1:11" s="565" customFormat="1" x14ac:dyDescent="0.2">
      <c r="A70" s="556"/>
      <c r="B70" s="954" t="s">
        <v>290</v>
      </c>
      <c r="C70" s="954" t="s">
        <v>356</v>
      </c>
      <c r="D70" s="954"/>
      <c r="E70" s="954" t="s">
        <v>331</v>
      </c>
      <c r="F70" s="954"/>
      <c r="G70" s="954" t="s">
        <v>358</v>
      </c>
      <c r="H70" s="954"/>
      <c r="I70" s="954" t="s">
        <v>255</v>
      </c>
      <c r="J70" s="569"/>
    </row>
    <row r="71" spans="1:11" s="559" customFormat="1" x14ac:dyDescent="0.2">
      <c r="A71" s="556"/>
      <c r="B71" s="578" t="str">
        <f t="shared" ref="B71:C77" si="14">B41</f>
        <v>E1</v>
      </c>
      <c r="C71" s="688">
        <f t="shared" si="14"/>
        <v>2</v>
      </c>
      <c r="D71" s="1312" t="s">
        <v>75</v>
      </c>
      <c r="E71" s="1312">
        <v>0.06</v>
      </c>
      <c r="F71" s="1312" t="s">
        <v>71</v>
      </c>
      <c r="G71" s="688">
        <f t="shared" ref="G71:G77" si="15">G41</f>
        <v>1</v>
      </c>
      <c r="H71" s="1312" t="s">
        <v>72</v>
      </c>
      <c r="I71" s="1312">
        <f>ROUND(((C71+E71)*G71),2)</f>
        <v>2.06</v>
      </c>
      <c r="J71" s="569"/>
    </row>
    <row r="72" spans="1:11" s="38" customFormat="1" x14ac:dyDescent="0.2">
      <c r="A72" s="556"/>
      <c r="B72" s="578" t="str">
        <f t="shared" si="14"/>
        <v>E2</v>
      </c>
      <c r="C72" s="688">
        <f t="shared" si="14"/>
        <v>1.5</v>
      </c>
      <c r="D72" s="1312" t="s">
        <v>75</v>
      </c>
      <c r="E72" s="1312">
        <v>0.06</v>
      </c>
      <c r="F72" s="1312" t="s">
        <v>71</v>
      </c>
      <c r="G72" s="688">
        <f t="shared" si="15"/>
        <v>4</v>
      </c>
      <c r="H72" s="1312" t="s">
        <v>72</v>
      </c>
      <c r="I72" s="1312">
        <f t="shared" ref="I72:I82" si="16">ROUND(((C72+E72)*G72),2)</f>
        <v>6.24</v>
      </c>
      <c r="J72" s="453"/>
    </row>
    <row r="73" spans="1:11" s="38" customFormat="1" x14ac:dyDescent="0.2">
      <c r="A73" s="555"/>
      <c r="B73" s="578" t="str">
        <f t="shared" si="14"/>
        <v>E3</v>
      </c>
      <c r="C73" s="688">
        <f t="shared" si="14"/>
        <v>1.2</v>
      </c>
      <c r="D73" s="1312" t="s">
        <v>75</v>
      </c>
      <c r="E73" s="1312">
        <v>0.06</v>
      </c>
      <c r="F73" s="1312" t="s">
        <v>71</v>
      </c>
      <c r="G73" s="688">
        <f t="shared" si="15"/>
        <v>1</v>
      </c>
      <c r="H73" s="1312" t="s">
        <v>72</v>
      </c>
      <c r="I73" s="1312">
        <f t="shared" si="16"/>
        <v>1.26</v>
      </c>
      <c r="J73" s="583"/>
    </row>
    <row r="74" spans="1:11" s="38" customFormat="1" x14ac:dyDescent="0.2">
      <c r="A74" s="555"/>
      <c r="B74" s="578" t="str">
        <f t="shared" si="14"/>
        <v>E4</v>
      </c>
      <c r="C74" s="688">
        <f t="shared" si="14"/>
        <v>1</v>
      </c>
      <c r="D74" s="1312" t="s">
        <v>75</v>
      </c>
      <c r="E74" s="1312">
        <v>0.06</v>
      </c>
      <c r="F74" s="1312" t="s">
        <v>71</v>
      </c>
      <c r="G74" s="688">
        <f t="shared" si="15"/>
        <v>1</v>
      </c>
      <c r="H74" s="1312" t="s">
        <v>72</v>
      </c>
      <c r="I74" s="1312">
        <f t="shared" si="16"/>
        <v>1.06</v>
      </c>
      <c r="J74" s="583"/>
    </row>
    <row r="75" spans="1:11" s="38" customFormat="1" x14ac:dyDescent="0.2">
      <c r="A75" s="555"/>
      <c r="B75" s="578" t="str">
        <f t="shared" si="14"/>
        <v>E5</v>
      </c>
      <c r="C75" s="688">
        <f t="shared" si="14"/>
        <v>0.8</v>
      </c>
      <c r="D75" s="1312" t="s">
        <v>75</v>
      </c>
      <c r="E75" s="1312">
        <v>0.06</v>
      </c>
      <c r="F75" s="1312" t="s">
        <v>71</v>
      </c>
      <c r="G75" s="688">
        <f t="shared" si="15"/>
        <v>1</v>
      </c>
      <c r="H75" s="1312" t="s">
        <v>72</v>
      </c>
      <c r="I75" s="1312">
        <f t="shared" si="16"/>
        <v>0.86</v>
      </c>
      <c r="J75" s="583"/>
    </row>
    <row r="76" spans="1:11" s="38" customFormat="1" x14ac:dyDescent="0.2">
      <c r="A76" s="555"/>
      <c r="B76" s="578" t="str">
        <f t="shared" si="14"/>
        <v>E6</v>
      </c>
      <c r="C76" s="688">
        <f t="shared" si="14"/>
        <v>0.6</v>
      </c>
      <c r="D76" s="1312" t="s">
        <v>75</v>
      </c>
      <c r="E76" s="1312">
        <v>0.06</v>
      </c>
      <c r="F76" s="1312" t="s">
        <v>71</v>
      </c>
      <c r="G76" s="688">
        <f t="shared" si="15"/>
        <v>1</v>
      </c>
      <c r="H76" s="1312" t="s">
        <v>72</v>
      </c>
      <c r="I76" s="1312">
        <f t="shared" si="16"/>
        <v>0.66</v>
      </c>
      <c r="J76" s="583"/>
    </row>
    <row r="77" spans="1:11" s="38" customFormat="1" x14ac:dyDescent="0.2">
      <c r="A77" s="555"/>
      <c r="B77" s="578" t="str">
        <f t="shared" si="14"/>
        <v>E7</v>
      </c>
      <c r="C77" s="688">
        <f t="shared" si="14"/>
        <v>1.4</v>
      </c>
      <c r="D77" s="1312" t="s">
        <v>75</v>
      </c>
      <c r="E77" s="1312">
        <v>0.06</v>
      </c>
      <c r="F77" s="1312" t="s">
        <v>71</v>
      </c>
      <c r="G77" s="688">
        <f t="shared" si="15"/>
        <v>2</v>
      </c>
      <c r="H77" s="1312" t="s">
        <v>72</v>
      </c>
      <c r="I77" s="1312">
        <f t="shared" si="16"/>
        <v>2.92</v>
      </c>
      <c r="J77" s="583"/>
    </row>
    <row r="78" spans="1:11" s="38" customFormat="1" x14ac:dyDescent="0.2">
      <c r="A78" s="555"/>
      <c r="B78" s="578" t="str">
        <f t="shared" ref="B78:C83" si="17">B49</f>
        <v>E9</v>
      </c>
      <c r="C78" s="688">
        <f t="shared" si="17"/>
        <v>2.2999999999999998</v>
      </c>
      <c r="D78" s="1312" t="s">
        <v>75</v>
      </c>
      <c r="E78" s="1312">
        <v>0.06</v>
      </c>
      <c r="F78" s="1312" t="s">
        <v>71</v>
      </c>
      <c r="G78" s="688">
        <f t="shared" ref="G78:G83" si="18">G49</f>
        <v>1</v>
      </c>
      <c r="H78" s="1312" t="s">
        <v>72</v>
      </c>
      <c r="I78" s="1312">
        <f t="shared" si="16"/>
        <v>2.36</v>
      </c>
      <c r="J78" s="583"/>
    </row>
    <row r="79" spans="1:11" s="38" customFormat="1" x14ac:dyDescent="0.2">
      <c r="A79" s="555"/>
      <c r="B79" s="578" t="str">
        <f t="shared" si="17"/>
        <v>E10</v>
      </c>
      <c r="C79" s="688">
        <f t="shared" si="17"/>
        <v>3</v>
      </c>
      <c r="D79" s="1312" t="s">
        <v>75</v>
      </c>
      <c r="E79" s="1312">
        <v>0.06</v>
      </c>
      <c r="F79" s="1312" t="s">
        <v>71</v>
      </c>
      <c r="G79" s="688">
        <f t="shared" si="18"/>
        <v>1</v>
      </c>
      <c r="H79" s="1312" t="s">
        <v>72</v>
      </c>
      <c r="I79" s="1312">
        <f t="shared" si="16"/>
        <v>3.06</v>
      </c>
      <c r="J79" s="583"/>
    </row>
    <row r="80" spans="1:11" s="38" customFormat="1" x14ac:dyDescent="0.2">
      <c r="A80" s="555"/>
      <c r="B80" s="578" t="str">
        <f t="shared" si="17"/>
        <v>E11</v>
      </c>
      <c r="C80" s="688">
        <f t="shared" si="17"/>
        <v>3.5</v>
      </c>
      <c r="D80" s="1312" t="s">
        <v>75</v>
      </c>
      <c r="E80" s="1312">
        <v>0.06</v>
      </c>
      <c r="F80" s="1312" t="s">
        <v>71</v>
      </c>
      <c r="G80" s="688">
        <f t="shared" si="18"/>
        <v>1</v>
      </c>
      <c r="H80" s="1312" t="s">
        <v>72</v>
      </c>
      <c r="I80" s="1312">
        <f t="shared" si="16"/>
        <v>3.56</v>
      </c>
      <c r="J80" s="583"/>
    </row>
    <row r="81" spans="1:11" s="38" customFormat="1" x14ac:dyDescent="0.2">
      <c r="A81" s="555"/>
      <c r="B81" s="578" t="str">
        <f t="shared" si="17"/>
        <v>E12</v>
      </c>
      <c r="C81" s="688">
        <f t="shared" si="17"/>
        <v>3.3</v>
      </c>
      <c r="D81" s="1312" t="s">
        <v>75</v>
      </c>
      <c r="E81" s="1312">
        <v>0.06</v>
      </c>
      <c r="F81" s="1312" t="s">
        <v>71</v>
      </c>
      <c r="G81" s="688">
        <f t="shared" si="18"/>
        <v>1</v>
      </c>
      <c r="H81" s="1312" t="s">
        <v>72</v>
      </c>
      <c r="I81" s="1312">
        <f t="shared" si="16"/>
        <v>3.36</v>
      </c>
      <c r="J81" s="583"/>
    </row>
    <row r="82" spans="1:11" s="38" customFormat="1" x14ac:dyDescent="0.2">
      <c r="A82" s="685"/>
      <c r="B82" s="578" t="str">
        <f t="shared" si="17"/>
        <v>E13</v>
      </c>
      <c r="C82" s="688">
        <f t="shared" si="17"/>
        <v>3.7</v>
      </c>
      <c r="D82" s="1312" t="s">
        <v>75</v>
      </c>
      <c r="E82" s="1312">
        <v>0.06</v>
      </c>
      <c r="F82" s="1312" t="s">
        <v>71</v>
      </c>
      <c r="G82" s="688">
        <f t="shared" si="18"/>
        <v>1</v>
      </c>
      <c r="H82" s="1312" t="s">
        <v>72</v>
      </c>
      <c r="I82" s="1312">
        <f t="shared" si="16"/>
        <v>3.76</v>
      </c>
      <c r="J82" s="583"/>
    </row>
    <row r="83" spans="1:11" s="38" customFormat="1" x14ac:dyDescent="0.2">
      <c r="A83" s="1208"/>
      <c r="B83" s="578" t="str">
        <f t="shared" si="17"/>
        <v>E14</v>
      </c>
      <c r="C83" s="688">
        <f t="shared" si="17"/>
        <v>4</v>
      </c>
      <c r="D83" s="1312" t="s">
        <v>75</v>
      </c>
      <c r="E83" s="1312">
        <f>E82</f>
        <v>0.06</v>
      </c>
      <c r="F83" s="1312" t="s">
        <v>71</v>
      </c>
      <c r="G83" s="688">
        <f t="shared" si="18"/>
        <v>2</v>
      </c>
      <c r="H83" s="1312" t="s">
        <v>72</v>
      </c>
      <c r="I83" s="1312">
        <f t="shared" ref="I83" si="19">ROUND(((C83+E83)*G83),2)</f>
        <v>8.1199999999999992</v>
      </c>
      <c r="J83" s="583"/>
    </row>
    <row r="84" spans="1:11" s="38" customFormat="1" x14ac:dyDescent="0.2">
      <c r="A84" s="1329"/>
      <c r="B84" s="578" t="str">
        <f>B32</f>
        <v>V1</v>
      </c>
      <c r="C84" s="578">
        <f>C32</f>
        <v>2</v>
      </c>
      <c r="D84" s="1312" t="s">
        <v>75</v>
      </c>
      <c r="E84" s="1312">
        <f t="shared" ref="E84:E86" si="20">E83</f>
        <v>0.06</v>
      </c>
      <c r="F84" s="1312" t="s">
        <v>71</v>
      </c>
      <c r="G84" s="578">
        <f>I32</f>
        <v>5</v>
      </c>
      <c r="H84" s="1312" t="s">
        <v>72</v>
      </c>
      <c r="I84" s="1312">
        <f t="shared" ref="I84:I86" si="21">ROUND(((C84+E84)*G84),2)</f>
        <v>10.3</v>
      </c>
      <c r="J84" s="583"/>
    </row>
    <row r="85" spans="1:11" s="38" customFormat="1" x14ac:dyDescent="0.2">
      <c r="A85" s="1329"/>
      <c r="B85" s="578" t="str">
        <f t="shared" ref="B85:C86" si="22">B33</f>
        <v>V2</v>
      </c>
      <c r="C85" s="578">
        <f t="shared" si="22"/>
        <v>1</v>
      </c>
      <c r="D85" s="1312" t="s">
        <v>75</v>
      </c>
      <c r="E85" s="1312">
        <f t="shared" si="20"/>
        <v>0.06</v>
      </c>
      <c r="F85" s="1312" t="s">
        <v>71</v>
      </c>
      <c r="G85" s="578">
        <f t="shared" ref="G85:G86" si="23">I33</f>
        <v>1</v>
      </c>
      <c r="H85" s="1312" t="s">
        <v>72</v>
      </c>
      <c r="I85" s="1312">
        <f t="shared" si="21"/>
        <v>1.06</v>
      </c>
      <c r="J85" s="583"/>
    </row>
    <row r="86" spans="1:11" s="38" customFormat="1" x14ac:dyDescent="0.2">
      <c r="A86" s="1329"/>
      <c r="B86" s="578" t="str">
        <f t="shared" si="22"/>
        <v>V3</v>
      </c>
      <c r="C86" s="578">
        <f t="shared" si="22"/>
        <v>1.5</v>
      </c>
      <c r="D86" s="1312" t="s">
        <v>75</v>
      </c>
      <c r="E86" s="1312">
        <f t="shared" si="20"/>
        <v>0.06</v>
      </c>
      <c r="F86" s="1312" t="s">
        <v>71</v>
      </c>
      <c r="G86" s="578">
        <f t="shared" si="23"/>
        <v>1</v>
      </c>
      <c r="H86" s="1312" t="s">
        <v>72</v>
      </c>
      <c r="I86" s="1312">
        <f t="shared" si="21"/>
        <v>1.56</v>
      </c>
      <c r="J86" s="583"/>
    </row>
    <row r="87" spans="1:11" s="38" customFormat="1" x14ac:dyDescent="0.2">
      <c r="A87" s="820"/>
      <c r="B87" s="578" t="str">
        <f>'PAR. 7'!B53</f>
        <v>Guarda Corpo 1</v>
      </c>
      <c r="C87" s="578">
        <f>'PAR. 7'!C53</f>
        <v>14.750000000000002</v>
      </c>
      <c r="D87" s="1312" t="s">
        <v>75</v>
      </c>
      <c r="E87" s="1312">
        <v>0.06</v>
      </c>
      <c r="F87" s="1312" t="s">
        <v>71</v>
      </c>
      <c r="G87" s="688">
        <v>1</v>
      </c>
      <c r="H87" s="1312" t="s">
        <v>72</v>
      </c>
      <c r="I87" s="1312">
        <f t="shared" ref="I87:I89" si="24">ROUND(((C87+E87)*G87),2)</f>
        <v>14.81</v>
      </c>
      <c r="J87" s="583"/>
    </row>
    <row r="88" spans="1:11" s="38" customFormat="1" x14ac:dyDescent="0.2">
      <c r="A88" s="820"/>
      <c r="B88" s="578" t="str">
        <f>'PAR. 7'!B54</f>
        <v>Guarda Corpo 2</v>
      </c>
      <c r="C88" s="578">
        <f>'PAR. 7'!C54</f>
        <v>11.6</v>
      </c>
      <c r="D88" s="1312" t="s">
        <v>75</v>
      </c>
      <c r="E88" s="1312">
        <v>0.06</v>
      </c>
      <c r="F88" s="1312" t="s">
        <v>71</v>
      </c>
      <c r="G88" s="688">
        <f>G87</f>
        <v>1</v>
      </c>
      <c r="H88" s="1312" t="s">
        <v>72</v>
      </c>
      <c r="I88" s="1312">
        <f t="shared" si="24"/>
        <v>11.66</v>
      </c>
      <c r="J88" s="583"/>
    </row>
    <row r="89" spans="1:11" s="38" customFormat="1" x14ac:dyDescent="0.2">
      <c r="A89" s="820"/>
      <c r="B89" s="578" t="str">
        <f>'PAR. 7'!B55</f>
        <v>Guarda Corpo 3</v>
      </c>
      <c r="C89" s="578">
        <f>'PAR. 7'!C55</f>
        <v>15</v>
      </c>
      <c r="D89" s="1312" t="s">
        <v>75</v>
      </c>
      <c r="E89" s="1312">
        <v>0.06</v>
      </c>
      <c r="F89" s="1312" t="s">
        <v>71</v>
      </c>
      <c r="G89" s="688">
        <f t="shared" ref="G89" si="25">G88</f>
        <v>1</v>
      </c>
      <c r="H89" s="1312" t="s">
        <v>72</v>
      </c>
      <c r="I89" s="1312">
        <f t="shared" si="24"/>
        <v>15.06</v>
      </c>
      <c r="J89" s="583"/>
    </row>
    <row r="90" spans="1:11" s="38" customFormat="1" ht="13.5" thickBot="1" x14ac:dyDescent="0.25">
      <c r="A90" s="555"/>
      <c r="B90" s="583"/>
      <c r="C90" s="583"/>
      <c r="D90" s="583"/>
      <c r="E90" s="583"/>
      <c r="F90" s="583"/>
      <c r="G90" s="583"/>
      <c r="H90" s="583"/>
      <c r="I90" s="583"/>
      <c r="J90" s="583"/>
      <c r="K90" s="583"/>
    </row>
    <row r="91" spans="1:11" s="38" customFormat="1" ht="13.5" thickBot="1" x14ac:dyDescent="0.25">
      <c r="A91" s="555"/>
      <c r="B91" s="817" t="s">
        <v>519</v>
      </c>
      <c r="C91" s="818">
        <f>SUM(I71:I89)</f>
        <v>93.73</v>
      </c>
      <c r="D91" s="819" t="s">
        <v>17</v>
      </c>
      <c r="E91" s="583"/>
      <c r="F91" s="583"/>
      <c r="G91" s="583"/>
      <c r="H91" s="583"/>
      <c r="I91" s="583"/>
      <c r="J91" s="583"/>
      <c r="K91" s="583"/>
    </row>
    <row r="92" spans="1:11" s="38" customFormat="1" x14ac:dyDescent="0.2">
      <c r="A92" s="555"/>
      <c r="B92" s="583"/>
      <c r="C92" s="583"/>
      <c r="D92" s="583"/>
      <c r="E92" s="583"/>
      <c r="F92" s="583"/>
      <c r="G92" s="583"/>
      <c r="H92" s="583"/>
      <c r="I92" s="583"/>
      <c r="J92" s="583"/>
      <c r="K92" s="583"/>
    </row>
    <row r="93" spans="1:11" s="38" customFormat="1" x14ac:dyDescent="0.2">
      <c r="A93" s="1941" t="str">
        <f>ORÇ!A105</f>
        <v>9.1.5</v>
      </c>
      <c r="B93" s="1887" t="str">
        <f>ORÇ!D105</f>
        <v>FORNECIMENTO E INSTALAÇÃO DE ESQUADRIA VIDRO FIXO 6MM, COM ESTRUTURA EM ALUMINIO E BANCADA EM GRANITO.</v>
      </c>
      <c r="C93" s="1887"/>
      <c r="D93" s="1887"/>
      <c r="E93" s="1887"/>
      <c r="F93" s="1887"/>
      <c r="G93" s="1887"/>
      <c r="H93" s="1887"/>
      <c r="I93" s="1887"/>
      <c r="J93" s="1887"/>
      <c r="K93" s="1887"/>
    </row>
    <row r="94" spans="1:11" s="38" customFormat="1" x14ac:dyDescent="0.2">
      <c r="A94" s="1941"/>
      <c r="B94" s="1887"/>
      <c r="C94" s="1887"/>
      <c r="D94" s="1887"/>
      <c r="E94" s="1887"/>
      <c r="F94" s="1887"/>
      <c r="G94" s="1887"/>
      <c r="H94" s="1887"/>
      <c r="I94" s="1887"/>
      <c r="J94" s="1887"/>
      <c r="K94" s="1887"/>
    </row>
    <row r="95" spans="1:11" s="38" customFormat="1" x14ac:dyDescent="0.2">
      <c r="A95" s="699"/>
      <c r="B95" s="1312" t="s">
        <v>348</v>
      </c>
      <c r="C95" s="1312" t="s">
        <v>225</v>
      </c>
      <c r="D95" s="1312"/>
      <c r="E95" s="1312" t="s">
        <v>291</v>
      </c>
      <c r="F95" s="1312"/>
      <c r="G95" s="1312" t="s">
        <v>250</v>
      </c>
      <c r="H95" s="1362"/>
      <c r="I95" s="1312" t="s">
        <v>263</v>
      </c>
      <c r="K95" s="453"/>
    </row>
    <row r="96" spans="1:11" s="38" customFormat="1" x14ac:dyDescent="0.2">
      <c r="A96" s="699"/>
      <c r="B96" s="1312" t="s">
        <v>133</v>
      </c>
      <c r="C96" s="1312">
        <v>2</v>
      </c>
      <c r="D96" s="1312" t="s">
        <v>71</v>
      </c>
      <c r="E96" s="1312">
        <v>1</v>
      </c>
      <c r="F96" s="1312" t="s">
        <v>71</v>
      </c>
      <c r="G96" s="1312">
        <v>5</v>
      </c>
      <c r="H96" s="1312" t="s">
        <v>72</v>
      </c>
      <c r="I96" s="1312">
        <f>ROUND(C96*E96*G96,2)</f>
        <v>10</v>
      </c>
      <c r="K96" s="453"/>
    </row>
    <row r="97" spans="1:11" s="38" customFormat="1" x14ac:dyDescent="0.2">
      <c r="A97" s="699"/>
      <c r="B97" s="1312" t="s">
        <v>134</v>
      </c>
      <c r="C97" s="1312">
        <v>1</v>
      </c>
      <c r="D97" s="1312" t="s">
        <v>71</v>
      </c>
      <c r="E97" s="1312">
        <v>1</v>
      </c>
      <c r="F97" s="1312" t="s">
        <v>71</v>
      </c>
      <c r="G97" s="1312">
        <v>1</v>
      </c>
      <c r="H97" s="1312" t="s">
        <v>72</v>
      </c>
      <c r="I97" s="1312">
        <f>ROUND(C97*E97*G97,2)</f>
        <v>1</v>
      </c>
      <c r="K97" s="453"/>
    </row>
    <row r="98" spans="1:11" s="38" customFormat="1" x14ac:dyDescent="0.2">
      <c r="A98" s="699"/>
      <c r="B98" s="1312" t="s">
        <v>135</v>
      </c>
      <c r="C98" s="1312">
        <v>1.5</v>
      </c>
      <c r="D98" s="1312" t="s">
        <v>71</v>
      </c>
      <c r="E98" s="1312">
        <v>1</v>
      </c>
      <c r="F98" s="1312" t="s">
        <v>71</v>
      </c>
      <c r="G98" s="1312">
        <v>1</v>
      </c>
      <c r="H98" s="1312" t="s">
        <v>72</v>
      </c>
      <c r="I98" s="1312">
        <f>ROUND(C98*E98*G98,2)</f>
        <v>1.5</v>
      </c>
      <c r="K98" s="453"/>
    </row>
    <row r="99" spans="1:11" s="38" customFormat="1" ht="13.5" thickBot="1" x14ac:dyDescent="0.25">
      <c r="A99" s="698"/>
      <c r="B99" s="702"/>
      <c r="C99" s="702"/>
      <c r="D99" s="702"/>
      <c r="E99" s="702"/>
      <c r="F99" s="702"/>
      <c r="G99" s="702"/>
      <c r="H99" s="702"/>
      <c r="I99" s="583"/>
      <c r="J99" s="583"/>
      <c r="K99" s="583"/>
    </row>
    <row r="100" spans="1:11" s="38" customFormat="1" ht="13.5" thickBot="1" x14ac:dyDescent="0.25">
      <c r="A100" s="698"/>
      <c r="B100" s="817" t="s">
        <v>306</v>
      </c>
      <c r="C100" s="818">
        <f>SUM(I96:I98)</f>
        <v>12.5</v>
      </c>
      <c r="D100" s="819" t="s">
        <v>6</v>
      </c>
      <c r="E100" s="583"/>
      <c r="F100" s="583"/>
      <c r="G100" s="583"/>
      <c r="H100" s="583"/>
      <c r="I100" s="583"/>
      <c r="J100" s="583"/>
      <c r="K100" s="583"/>
    </row>
    <row r="101" spans="1:11" s="38" customFormat="1" x14ac:dyDescent="0.2">
      <c r="A101" s="698"/>
      <c r="B101" s="583"/>
      <c r="C101" s="583"/>
      <c r="D101" s="583"/>
      <c r="E101" s="583"/>
      <c r="F101" s="583"/>
      <c r="G101" s="583"/>
      <c r="H101" s="583"/>
      <c r="I101" s="583"/>
      <c r="J101" s="583"/>
      <c r="K101" s="583"/>
    </row>
    <row r="102" spans="1:11" s="38" customFormat="1" x14ac:dyDescent="0.2">
      <c r="A102" s="698"/>
      <c r="B102" s="583"/>
      <c r="C102" s="583"/>
      <c r="D102" s="583"/>
      <c r="E102" s="583"/>
      <c r="F102" s="583"/>
      <c r="G102" s="583"/>
      <c r="H102" s="583"/>
      <c r="I102" s="583"/>
      <c r="J102" s="583"/>
      <c r="K102" s="583"/>
    </row>
    <row r="103" spans="1:11" s="38" customFormat="1" x14ac:dyDescent="0.2">
      <c r="A103" s="1321" t="str">
        <f>ORÇ!A106</f>
        <v>9.1.6</v>
      </c>
      <c r="B103" s="1887" t="str">
        <f>ORÇ!D106</f>
        <v>Vidro temperado incolor e= 6mm com ferragens</v>
      </c>
      <c r="C103" s="1887"/>
      <c r="D103" s="1887"/>
      <c r="E103" s="1887"/>
      <c r="F103" s="1887"/>
      <c r="G103" s="1887"/>
      <c r="H103" s="1887"/>
      <c r="I103" s="1887"/>
      <c r="J103" s="1887"/>
      <c r="K103" s="1887"/>
    </row>
    <row r="104" spans="1:11" s="38" customFormat="1" x14ac:dyDescent="0.2">
      <c r="A104" s="611"/>
      <c r="B104" s="1923"/>
      <c r="C104" s="1923"/>
      <c r="D104" s="1923"/>
      <c r="E104" s="1923"/>
      <c r="F104" s="1923"/>
      <c r="G104" s="1923"/>
      <c r="H104" s="583"/>
      <c r="I104" s="583"/>
      <c r="J104" s="583"/>
      <c r="K104" s="583"/>
    </row>
    <row r="105" spans="1:11" s="38" customFormat="1" x14ac:dyDescent="0.2">
      <c r="A105" s="611"/>
      <c r="B105" s="899" t="s">
        <v>224</v>
      </c>
      <c r="C105" s="899" t="s">
        <v>225</v>
      </c>
      <c r="D105" s="899"/>
      <c r="E105" s="899" t="s">
        <v>291</v>
      </c>
      <c r="F105" s="899"/>
      <c r="G105" s="899" t="s">
        <v>263</v>
      </c>
      <c r="H105" s="583"/>
      <c r="I105" s="583"/>
      <c r="J105" s="583"/>
      <c r="K105" s="583"/>
    </row>
    <row r="106" spans="1:11" s="38" customFormat="1" x14ac:dyDescent="0.2">
      <c r="A106" s="896"/>
      <c r="B106" s="1932" t="s">
        <v>1389</v>
      </c>
      <c r="C106" s="899">
        <f>3.05+0.9</f>
        <v>3.9499999999999997</v>
      </c>
      <c r="D106" s="899" t="s">
        <v>71</v>
      </c>
      <c r="E106" s="899">
        <f>0.8+0.8+1.1+0.85+0.85+0.6</f>
        <v>5</v>
      </c>
      <c r="F106" s="899" t="s">
        <v>72</v>
      </c>
      <c r="G106" s="899">
        <f t="shared" ref="G106:G112" si="26">ROUND(C106*E106,2)</f>
        <v>19.75</v>
      </c>
      <c r="H106" s="583"/>
      <c r="I106" s="583"/>
      <c r="J106" s="583"/>
      <c r="K106" s="583"/>
    </row>
    <row r="107" spans="1:11" s="38" customFormat="1" x14ac:dyDescent="0.2">
      <c r="A107" s="896"/>
      <c r="B107" s="1932"/>
      <c r="C107" s="899">
        <v>1.8</v>
      </c>
      <c r="D107" s="899" t="s">
        <v>71</v>
      </c>
      <c r="E107" s="899">
        <f>0.5+0.9+0.9+0.9</f>
        <v>3.1999999999999997</v>
      </c>
      <c r="F107" s="899" t="s">
        <v>72</v>
      </c>
      <c r="G107" s="899">
        <f t="shared" si="26"/>
        <v>5.76</v>
      </c>
      <c r="H107" s="583"/>
      <c r="I107" s="583"/>
      <c r="J107" s="583"/>
      <c r="K107" s="583"/>
    </row>
    <row r="108" spans="1:11" s="38" customFormat="1" x14ac:dyDescent="0.2">
      <c r="A108" s="896"/>
      <c r="B108" s="1932" t="s">
        <v>1390</v>
      </c>
      <c r="C108" s="899">
        <f>1.9+2.6</f>
        <v>4.5</v>
      </c>
      <c r="D108" s="899" t="s">
        <v>71</v>
      </c>
      <c r="E108" s="899">
        <v>2.2000000000000002</v>
      </c>
      <c r="F108" s="899" t="s">
        <v>72</v>
      </c>
      <c r="G108" s="899">
        <f t="shared" si="26"/>
        <v>9.9</v>
      </c>
      <c r="H108" s="583"/>
      <c r="I108" s="583"/>
      <c r="J108" s="583"/>
      <c r="K108" s="583"/>
    </row>
    <row r="109" spans="1:11" s="38" customFormat="1" x14ac:dyDescent="0.2">
      <c r="A109" s="896"/>
      <c r="B109" s="1932"/>
      <c r="C109" s="899">
        <f>1.9+2.6</f>
        <v>4.5</v>
      </c>
      <c r="D109" s="899" t="s">
        <v>71</v>
      </c>
      <c r="E109" s="899">
        <v>2.8</v>
      </c>
      <c r="F109" s="899" t="s">
        <v>72</v>
      </c>
      <c r="G109" s="899">
        <f t="shared" si="26"/>
        <v>12.6</v>
      </c>
      <c r="H109" s="583"/>
      <c r="I109" s="583"/>
      <c r="J109" s="583"/>
      <c r="K109" s="583"/>
    </row>
    <row r="110" spans="1:11" s="38" customFormat="1" x14ac:dyDescent="0.2">
      <c r="A110" s="896"/>
      <c r="B110" s="899" t="s">
        <v>804</v>
      </c>
      <c r="C110" s="899">
        <f>3.4+3.6+3.45+3.55</f>
        <v>14</v>
      </c>
      <c r="D110" s="899" t="s">
        <v>71</v>
      </c>
      <c r="E110" s="899">
        <v>1.9</v>
      </c>
      <c r="F110" s="899" t="s">
        <v>72</v>
      </c>
      <c r="G110" s="899">
        <f t="shared" si="26"/>
        <v>26.6</v>
      </c>
      <c r="H110" s="583"/>
      <c r="I110" s="583"/>
      <c r="J110" s="583"/>
      <c r="K110" s="583"/>
    </row>
    <row r="111" spans="1:11" s="38" customFormat="1" x14ac:dyDescent="0.2">
      <c r="A111" s="896"/>
      <c r="B111" s="1932" t="s">
        <v>805</v>
      </c>
      <c r="C111" s="899">
        <v>3</v>
      </c>
      <c r="D111" s="899" t="s">
        <v>71</v>
      </c>
      <c r="E111" s="899">
        <v>4.9000000000000004</v>
      </c>
      <c r="F111" s="899" t="s">
        <v>72</v>
      </c>
      <c r="G111" s="899">
        <f t="shared" si="26"/>
        <v>14.7</v>
      </c>
      <c r="H111" s="583"/>
      <c r="I111" s="583"/>
      <c r="J111" s="583"/>
      <c r="K111" s="583"/>
    </row>
    <row r="112" spans="1:11" s="38" customFormat="1" x14ac:dyDescent="0.2">
      <c r="A112" s="896"/>
      <c r="B112" s="1932"/>
      <c r="C112" s="899">
        <f>4.85+2</f>
        <v>6.85</v>
      </c>
      <c r="D112" s="899" t="s">
        <v>71</v>
      </c>
      <c r="E112" s="899">
        <v>5.7</v>
      </c>
      <c r="F112" s="899" t="s">
        <v>72</v>
      </c>
      <c r="G112" s="899">
        <f t="shared" si="26"/>
        <v>39.049999999999997</v>
      </c>
      <c r="H112" s="583"/>
      <c r="I112" s="583"/>
      <c r="J112" s="583"/>
      <c r="K112" s="583"/>
    </row>
    <row r="113" spans="1:11" s="38" customFormat="1" x14ac:dyDescent="0.2">
      <c r="A113" s="896"/>
      <c r="B113" s="1932" t="s">
        <v>806</v>
      </c>
      <c r="C113" s="899">
        <v>1.9</v>
      </c>
      <c r="D113" s="899" t="s">
        <v>71</v>
      </c>
      <c r="E113" s="899">
        <v>2.2000000000000002</v>
      </c>
      <c r="F113" s="899" t="s">
        <v>72</v>
      </c>
      <c r="G113" s="899">
        <f t="shared" ref="G113:G118" si="27">ROUND(C113*E113,2)</f>
        <v>4.18</v>
      </c>
      <c r="H113" s="583"/>
      <c r="I113" s="583"/>
      <c r="J113" s="583"/>
      <c r="K113" s="583"/>
    </row>
    <row r="114" spans="1:11" s="38" customFormat="1" x14ac:dyDescent="0.2">
      <c r="A114" s="896"/>
      <c r="B114" s="1932"/>
      <c r="C114" s="899">
        <v>2.6</v>
      </c>
      <c r="D114" s="899" t="s">
        <v>71</v>
      </c>
      <c r="E114" s="899">
        <v>2.2000000000000002</v>
      </c>
      <c r="F114" s="899" t="s">
        <v>72</v>
      </c>
      <c r="G114" s="899">
        <f t="shared" si="27"/>
        <v>5.72</v>
      </c>
      <c r="H114" s="583"/>
      <c r="I114" s="583"/>
      <c r="J114" s="583"/>
      <c r="K114" s="583"/>
    </row>
    <row r="115" spans="1:11" s="38" customFormat="1" x14ac:dyDescent="0.2">
      <c r="A115" s="896"/>
      <c r="B115" s="1312" t="s">
        <v>807</v>
      </c>
      <c r="C115" s="899">
        <v>1.9</v>
      </c>
      <c r="D115" s="899" t="s">
        <v>71</v>
      </c>
      <c r="E115" s="899">
        <v>1.3</v>
      </c>
      <c r="F115" s="899" t="s">
        <v>72</v>
      </c>
      <c r="G115" s="899">
        <f t="shared" si="27"/>
        <v>2.4700000000000002</v>
      </c>
      <c r="H115" s="583"/>
      <c r="I115" s="583"/>
      <c r="J115" s="583"/>
      <c r="K115" s="583"/>
    </row>
    <row r="116" spans="1:11" s="38" customFormat="1" x14ac:dyDescent="0.2">
      <c r="A116" s="896"/>
      <c r="B116" s="1312" t="s">
        <v>808</v>
      </c>
      <c r="C116" s="899">
        <v>1.9</v>
      </c>
      <c r="D116" s="899" t="s">
        <v>71</v>
      </c>
      <c r="E116" s="899">
        <v>1.6</v>
      </c>
      <c r="F116" s="899" t="s">
        <v>72</v>
      </c>
      <c r="G116" s="899">
        <f t="shared" si="27"/>
        <v>3.04</v>
      </c>
      <c r="H116" s="583"/>
      <c r="I116" s="583"/>
      <c r="J116" s="583"/>
      <c r="K116" s="583"/>
    </row>
    <row r="117" spans="1:11" s="38" customFormat="1" x14ac:dyDescent="0.2">
      <c r="A117" s="896"/>
      <c r="B117" s="1312" t="s">
        <v>809</v>
      </c>
      <c r="C117" s="899">
        <v>1.1499999999999999</v>
      </c>
      <c r="D117" s="899" t="s">
        <v>71</v>
      </c>
      <c r="E117" s="899">
        <v>1.9</v>
      </c>
      <c r="F117" s="899" t="s">
        <v>72</v>
      </c>
      <c r="G117" s="899">
        <f t="shared" si="27"/>
        <v>2.19</v>
      </c>
      <c r="H117" s="583"/>
      <c r="I117" s="583"/>
      <c r="J117" s="583"/>
      <c r="K117" s="583"/>
    </row>
    <row r="118" spans="1:11" s="38" customFormat="1" x14ac:dyDescent="0.2">
      <c r="A118" s="896"/>
      <c r="B118" s="1312" t="s">
        <v>810</v>
      </c>
      <c r="C118" s="899">
        <v>1.2</v>
      </c>
      <c r="D118" s="899" t="s">
        <v>71</v>
      </c>
      <c r="E118" s="899">
        <v>1.9</v>
      </c>
      <c r="F118" s="899" t="s">
        <v>72</v>
      </c>
      <c r="G118" s="899">
        <f t="shared" si="27"/>
        <v>2.2799999999999998</v>
      </c>
      <c r="H118" s="583"/>
      <c r="I118" s="583"/>
      <c r="J118" s="583"/>
      <c r="K118" s="583"/>
    </row>
    <row r="119" spans="1:11" s="38" customFormat="1" x14ac:dyDescent="0.2">
      <c r="A119" s="896"/>
      <c r="B119" s="1312" t="s">
        <v>262</v>
      </c>
      <c r="C119" s="899">
        <v>1.2</v>
      </c>
      <c r="D119" s="899" t="s">
        <v>71</v>
      </c>
      <c r="E119" s="899">
        <v>2.6</v>
      </c>
      <c r="F119" s="899" t="s">
        <v>72</v>
      </c>
      <c r="G119" s="899">
        <f>ROUND(C119*E119,2)</f>
        <v>3.12</v>
      </c>
      <c r="H119" s="583"/>
      <c r="I119" s="583"/>
      <c r="J119" s="583"/>
      <c r="K119" s="583"/>
    </row>
    <row r="120" spans="1:11" s="38" customFormat="1" ht="13.5" thickBot="1" x14ac:dyDescent="0.25">
      <c r="A120" s="739"/>
      <c r="B120" s="748"/>
      <c r="C120" s="748"/>
      <c r="D120" s="748"/>
      <c r="E120" s="748"/>
      <c r="F120" s="748"/>
      <c r="G120" s="748"/>
      <c r="H120" s="583"/>
      <c r="I120" s="583"/>
      <c r="J120" s="583"/>
      <c r="K120" s="583"/>
    </row>
    <row r="121" spans="1:11" s="38" customFormat="1" ht="13.5" thickBot="1" x14ac:dyDescent="0.25">
      <c r="A121" s="611"/>
      <c r="B121" s="817" t="s">
        <v>50</v>
      </c>
      <c r="C121" s="818">
        <f>SUM(G106:G119)</f>
        <v>151.36000000000001</v>
      </c>
      <c r="D121" s="819" t="s">
        <v>6</v>
      </c>
      <c r="E121" s="583"/>
      <c r="F121" s="583"/>
      <c r="G121" s="583"/>
      <c r="H121" s="583"/>
      <c r="I121" s="583"/>
      <c r="J121" s="583"/>
      <c r="K121" s="583"/>
    </row>
    <row r="122" spans="1:11" s="38" customFormat="1" x14ac:dyDescent="0.2">
      <c r="A122" s="611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</row>
    <row r="123" spans="1:11" x14ac:dyDescent="0.2">
      <c r="A123" s="420"/>
      <c r="B123" s="554" t="str">
        <f>ORÇ!D107</f>
        <v>Portas</v>
      </c>
      <c r="C123" s="420"/>
      <c r="D123" s="420"/>
      <c r="E123" s="420"/>
      <c r="F123" s="420"/>
      <c r="G123" s="420"/>
      <c r="H123" s="420"/>
      <c r="I123" s="420"/>
      <c r="J123" s="420"/>
      <c r="K123" s="553"/>
    </row>
    <row r="124" spans="1:11" x14ac:dyDescent="0.2">
      <c r="A124" s="1941" t="str">
        <f>ORÇ!A108</f>
        <v>9.2.1</v>
      </c>
      <c r="B124" s="1887" t="str">
        <f>ORÇ!D108</f>
        <v>VERGA MOLDADA IN LOCO COM UTILIZAÇÃO DE BLOCOS CANALETA PARA PORTAS COM MAIS DE 1,5 M DE VÃO. AF_03/2016</v>
      </c>
      <c r="C124" s="1887"/>
      <c r="D124" s="1887"/>
      <c r="E124" s="1887"/>
      <c r="F124" s="1887"/>
      <c r="G124" s="1887"/>
      <c r="H124" s="1887"/>
      <c r="I124" s="1887"/>
      <c r="J124" s="1887"/>
      <c r="K124" s="1887"/>
    </row>
    <row r="125" spans="1:11" x14ac:dyDescent="0.2">
      <c r="A125" s="1941"/>
      <c r="B125" s="1887"/>
      <c r="C125" s="1887"/>
      <c r="D125" s="1887"/>
      <c r="E125" s="1887"/>
      <c r="F125" s="1887"/>
      <c r="G125" s="1887"/>
      <c r="H125" s="1887"/>
      <c r="I125" s="1887"/>
      <c r="J125" s="1887"/>
      <c r="K125" s="1887"/>
    </row>
    <row r="126" spans="1:11" s="587" customFormat="1" ht="30.75" customHeight="1" x14ac:dyDescent="0.2">
      <c r="A126" s="586"/>
      <c r="B126" s="1312" t="s">
        <v>1391</v>
      </c>
      <c r="C126" s="1312" t="s">
        <v>356</v>
      </c>
      <c r="D126" s="1312"/>
      <c r="E126" s="1312" t="s">
        <v>360</v>
      </c>
      <c r="F126" s="1312"/>
      <c r="G126" s="1312" t="s">
        <v>358</v>
      </c>
      <c r="H126" s="1312"/>
      <c r="I126" s="1312" t="s">
        <v>255</v>
      </c>
    </row>
    <row r="127" spans="1:11" x14ac:dyDescent="0.2">
      <c r="A127" s="681"/>
      <c r="B127" s="1328" t="str">
        <f>B246</f>
        <v>P2</v>
      </c>
      <c r="C127" s="1328">
        <f>C246</f>
        <v>1.5</v>
      </c>
      <c r="D127" s="1312" t="s">
        <v>75</v>
      </c>
      <c r="E127" s="1312">
        <v>0.3</v>
      </c>
      <c r="F127" s="1312" t="s">
        <v>71</v>
      </c>
      <c r="G127" s="1328">
        <f t="shared" ref="G127:G135" si="28">G246</f>
        <v>6</v>
      </c>
      <c r="H127" s="1312" t="s">
        <v>72</v>
      </c>
      <c r="I127" s="1312">
        <f t="shared" ref="I127" si="29">ROUND(((C127+E127)*G127),2)</f>
        <v>10.8</v>
      </c>
    </row>
    <row r="128" spans="1:11" x14ac:dyDescent="0.2">
      <c r="A128" s="1320"/>
      <c r="B128" s="1328" t="str">
        <f t="shared" ref="B128:C128" si="30">B247</f>
        <v>P3</v>
      </c>
      <c r="C128" s="1328">
        <f t="shared" si="30"/>
        <v>1.8</v>
      </c>
      <c r="D128" s="1312" t="s">
        <v>75</v>
      </c>
      <c r="E128" s="1312">
        <f t="shared" ref="E128:E135" si="31">E127</f>
        <v>0.3</v>
      </c>
      <c r="F128" s="1312" t="s">
        <v>71</v>
      </c>
      <c r="G128" s="1328">
        <f t="shared" si="28"/>
        <v>2</v>
      </c>
      <c r="H128" s="1312" t="s">
        <v>72</v>
      </c>
      <c r="I128" s="1312">
        <f t="shared" ref="I128:I135" si="32">ROUND(((C128+E128)*G128),2)</f>
        <v>4.2</v>
      </c>
    </row>
    <row r="129" spans="1:11" x14ac:dyDescent="0.2">
      <c r="A129" s="1320"/>
      <c r="B129" s="1328" t="str">
        <f t="shared" ref="B129:C129" si="33">B248</f>
        <v>P4</v>
      </c>
      <c r="C129" s="1328">
        <f t="shared" si="33"/>
        <v>1.4</v>
      </c>
      <c r="D129" s="1312" t="s">
        <v>75</v>
      </c>
      <c r="E129" s="1312">
        <f t="shared" si="31"/>
        <v>0.3</v>
      </c>
      <c r="F129" s="1312" t="s">
        <v>71</v>
      </c>
      <c r="G129" s="1328">
        <f t="shared" si="28"/>
        <v>4</v>
      </c>
      <c r="H129" s="1312" t="s">
        <v>72</v>
      </c>
      <c r="I129" s="1312">
        <f t="shared" si="32"/>
        <v>6.8</v>
      </c>
    </row>
    <row r="130" spans="1:11" x14ac:dyDescent="0.2">
      <c r="A130" s="1320"/>
      <c r="B130" s="1328" t="str">
        <f t="shared" ref="B130:C130" si="34">B249</f>
        <v>P5</v>
      </c>
      <c r="C130" s="1328">
        <f t="shared" si="34"/>
        <v>0.8</v>
      </c>
      <c r="D130" s="1312" t="s">
        <v>75</v>
      </c>
      <c r="E130" s="1312">
        <f t="shared" si="31"/>
        <v>0.3</v>
      </c>
      <c r="F130" s="1312" t="s">
        <v>71</v>
      </c>
      <c r="G130" s="1328">
        <f t="shared" si="28"/>
        <v>2</v>
      </c>
      <c r="H130" s="1312" t="s">
        <v>72</v>
      </c>
      <c r="I130" s="1312">
        <f t="shared" si="32"/>
        <v>2.2000000000000002</v>
      </c>
    </row>
    <row r="131" spans="1:11" x14ac:dyDescent="0.2">
      <c r="A131" s="1320"/>
      <c r="B131" s="1328" t="str">
        <f t="shared" ref="B131:C131" si="35">B250</f>
        <v>P6</v>
      </c>
      <c r="C131" s="1328">
        <f t="shared" si="35"/>
        <v>0.7</v>
      </c>
      <c r="D131" s="1312" t="s">
        <v>75</v>
      </c>
      <c r="E131" s="1312">
        <f t="shared" si="31"/>
        <v>0.3</v>
      </c>
      <c r="F131" s="1312" t="s">
        <v>71</v>
      </c>
      <c r="G131" s="1328">
        <f t="shared" si="28"/>
        <v>3</v>
      </c>
      <c r="H131" s="1312" t="s">
        <v>72</v>
      </c>
      <c r="I131" s="1312">
        <f t="shared" si="32"/>
        <v>3</v>
      </c>
    </row>
    <row r="132" spans="1:11" x14ac:dyDescent="0.2">
      <c r="A132" s="1320"/>
      <c r="B132" s="1328" t="str">
        <f t="shared" ref="B132:C132" si="36">B251</f>
        <v>P1 e P7</v>
      </c>
      <c r="C132" s="1328">
        <f t="shared" si="36"/>
        <v>0.9</v>
      </c>
      <c r="D132" s="1312" t="s">
        <v>75</v>
      </c>
      <c r="E132" s="1312">
        <f t="shared" si="31"/>
        <v>0.3</v>
      </c>
      <c r="F132" s="1312" t="s">
        <v>71</v>
      </c>
      <c r="G132" s="1328">
        <f t="shared" si="28"/>
        <v>32</v>
      </c>
      <c r="H132" s="1312" t="s">
        <v>72</v>
      </c>
      <c r="I132" s="1312">
        <f t="shared" si="32"/>
        <v>38.4</v>
      </c>
    </row>
    <row r="133" spans="1:11" x14ac:dyDescent="0.2">
      <c r="A133" s="1320"/>
      <c r="B133" s="1328" t="str">
        <f t="shared" ref="B133:C133" si="37">B252</f>
        <v>P8</v>
      </c>
      <c r="C133" s="1328">
        <f t="shared" si="37"/>
        <v>0.8</v>
      </c>
      <c r="D133" s="1312" t="s">
        <v>75</v>
      </c>
      <c r="E133" s="1312">
        <f t="shared" si="31"/>
        <v>0.3</v>
      </c>
      <c r="F133" s="1312" t="s">
        <v>71</v>
      </c>
      <c r="G133" s="1328">
        <f t="shared" si="28"/>
        <v>3</v>
      </c>
      <c r="H133" s="1312" t="s">
        <v>72</v>
      </c>
      <c r="I133" s="1312">
        <f t="shared" si="32"/>
        <v>3.3</v>
      </c>
    </row>
    <row r="134" spans="1:11" x14ac:dyDescent="0.2">
      <c r="A134" s="1320"/>
      <c r="B134" s="1328" t="str">
        <f t="shared" ref="B134:C134" si="38">B253</f>
        <v>P9</v>
      </c>
      <c r="C134" s="1328">
        <f t="shared" si="38"/>
        <v>0.9</v>
      </c>
      <c r="D134" s="1312" t="s">
        <v>75</v>
      </c>
      <c r="E134" s="1312">
        <f t="shared" si="31"/>
        <v>0.3</v>
      </c>
      <c r="F134" s="1312" t="s">
        <v>71</v>
      </c>
      <c r="G134" s="1328">
        <f t="shared" si="28"/>
        <v>2</v>
      </c>
      <c r="H134" s="1312" t="s">
        <v>72</v>
      </c>
      <c r="I134" s="1312">
        <f t="shared" si="32"/>
        <v>2.4</v>
      </c>
    </row>
    <row r="135" spans="1:11" x14ac:dyDescent="0.2">
      <c r="A135" s="1320"/>
      <c r="B135" s="1328" t="str">
        <f t="shared" ref="B135:C135" si="39">B254</f>
        <v>PA1</v>
      </c>
      <c r="C135" s="1328">
        <f t="shared" si="39"/>
        <v>1.5</v>
      </c>
      <c r="D135" s="1312" t="s">
        <v>75</v>
      </c>
      <c r="E135" s="1312">
        <f t="shared" si="31"/>
        <v>0.3</v>
      </c>
      <c r="F135" s="1312" t="s">
        <v>71</v>
      </c>
      <c r="G135" s="1328">
        <f t="shared" si="28"/>
        <v>1</v>
      </c>
      <c r="H135" s="1312" t="s">
        <v>72</v>
      </c>
      <c r="I135" s="1312">
        <f t="shared" si="32"/>
        <v>1.8</v>
      </c>
    </row>
    <row r="136" spans="1:11" ht="13.5" thickBot="1" x14ac:dyDescent="0.25"/>
    <row r="137" spans="1:11" ht="13.5" thickBot="1" x14ac:dyDescent="0.25">
      <c r="B137" s="817" t="s">
        <v>511</v>
      </c>
      <c r="C137" s="818">
        <f>SUM(I127:I136)</f>
        <v>72.900000000000006</v>
      </c>
      <c r="D137" s="819" t="s">
        <v>17</v>
      </c>
    </row>
    <row r="140" spans="1:11" x14ac:dyDescent="0.2">
      <c r="A140" s="1941" t="str">
        <f>ORÇ!A109</f>
        <v>9.2.2</v>
      </c>
      <c r="B140" s="1887" t="str">
        <f>ORÇ!D109</f>
        <v>KIT DE PORTA-PRONTA DE MADEIRA EM ACABAMENTO MELAMÍNICO BRANCO, FOLHA LEVE OU MÉDIA, E BATENTE METÁLICO, 70X210CM, FIXAÇÃO COM ARGAMASSA - FORNECIMENTO E INSTALAÇÃO. AF_12/2019</v>
      </c>
      <c r="C140" s="1887"/>
      <c r="D140" s="1887"/>
      <c r="E140" s="1887"/>
      <c r="F140" s="1887"/>
      <c r="G140" s="1887"/>
      <c r="H140" s="1887"/>
      <c r="I140" s="1887"/>
      <c r="J140" s="1887"/>
      <c r="K140" s="1887"/>
    </row>
    <row r="141" spans="1:11" x14ac:dyDescent="0.2">
      <c r="A141" s="1941"/>
      <c r="B141" s="1887"/>
      <c r="C141" s="1887"/>
      <c r="D141" s="1887"/>
      <c r="E141" s="1887"/>
      <c r="F141" s="1887"/>
      <c r="G141" s="1887"/>
      <c r="H141" s="1887"/>
      <c r="I141" s="1887"/>
      <c r="J141" s="1887"/>
      <c r="K141" s="1887"/>
    </row>
    <row r="142" spans="1:11" x14ac:dyDescent="0.2">
      <c r="A142" s="877"/>
      <c r="B142" s="871"/>
      <c r="C142" s="871"/>
      <c r="D142" s="871"/>
      <c r="E142" s="871"/>
      <c r="F142" s="871"/>
      <c r="G142" s="871"/>
      <c r="H142" s="871"/>
      <c r="I142" s="871"/>
      <c r="J142" s="871"/>
      <c r="K142" s="871"/>
    </row>
    <row r="143" spans="1:11" x14ac:dyDescent="0.2">
      <c r="A143" s="687"/>
      <c r="B143" s="691" t="s">
        <v>348</v>
      </c>
      <c r="C143" s="691" t="s">
        <v>225</v>
      </c>
      <c r="D143" s="691"/>
      <c r="E143" s="691" t="s">
        <v>291</v>
      </c>
      <c r="F143" s="691"/>
      <c r="G143" s="691" t="s">
        <v>250</v>
      </c>
      <c r="H143" s="691"/>
      <c r="I143" s="691" t="s">
        <v>263</v>
      </c>
    </row>
    <row r="144" spans="1:11" x14ac:dyDescent="0.2">
      <c r="A144" s="687"/>
      <c r="B144" s="1312" t="s">
        <v>501</v>
      </c>
      <c r="C144" s="691">
        <v>0.7</v>
      </c>
      <c r="D144" s="579" t="s">
        <v>71</v>
      </c>
      <c r="E144" s="691">
        <v>2.1</v>
      </c>
      <c r="F144" s="579" t="s">
        <v>71</v>
      </c>
      <c r="G144" s="691">
        <v>3</v>
      </c>
      <c r="H144" s="579" t="s">
        <v>72</v>
      </c>
      <c r="I144" s="579">
        <f>ROUND(C144*E144*G144,2)</f>
        <v>4.41</v>
      </c>
    </row>
    <row r="145" spans="1:11" x14ac:dyDescent="0.2">
      <c r="A145" s="687"/>
    </row>
    <row r="146" spans="1:11" x14ac:dyDescent="0.2">
      <c r="A146" s="687"/>
      <c r="B146" s="691" t="s">
        <v>512</v>
      </c>
      <c r="C146" s="691">
        <f>SUM(G144:G144)</f>
        <v>3</v>
      </c>
      <c r="D146" s="697" t="s">
        <v>96</v>
      </c>
    </row>
    <row r="147" spans="1:11" ht="13.5" thickBot="1" x14ac:dyDescent="0.25">
      <c r="A147" s="687"/>
    </row>
    <row r="148" spans="1:11" ht="13.5" thickBot="1" x14ac:dyDescent="0.25">
      <c r="A148" s="681"/>
      <c r="B148" s="817" t="s">
        <v>513</v>
      </c>
      <c r="C148" s="818">
        <f>C146</f>
        <v>3</v>
      </c>
      <c r="D148" s="819" t="s">
        <v>96</v>
      </c>
    </row>
    <row r="149" spans="1:11" x14ac:dyDescent="0.2">
      <c r="A149" s="681"/>
    </row>
    <row r="150" spans="1:11" x14ac:dyDescent="0.2">
      <c r="A150" s="1941" t="str">
        <f>ORÇ!A110</f>
        <v>9.2.3</v>
      </c>
      <c r="B150" s="1887" t="str">
        <f>ORÇ!D110</f>
        <v>KIT DE PORTA-PRONTA DE MADEIRA EM ACABAMENTO MELAMÍNICO BRANCO, FOLHA LEVE OU MÉDIA, E BATENTE METÁLICO, 90X210CM, FIXAÇÃO COM ARGAMASSA - FORNECIMENTO E INSTALAÇÃO. AF_12/2019</v>
      </c>
      <c r="C150" s="1887"/>
      <c r="D150" s="1887"/>
      <c r="E150" s="1887"/>
      <c r="F150" s="1887"/>
      <c r="G150" s="1887"/>
      <c r="H150" s="1887"/>
      <c r="I150" s="1887"/>
      <c r="J150" s="1887"/>
      <c r="K150" s="1887"/>
    </row>
    <row r="151" spans="1:11" x14ac:dyDescent="0.2">
      <c r="A151" s="1941"/>
      <c r="B151" s="1887"/>
      <c r="C151" s="1887"/>
      <c r="D151" s="1887"/>
      <c r="E151" s="1887"/>
      <c r="F151" s="1887"/>
      <c r="G151" s="1887"/>
      <c r="H151" s="1887"/>
      <c r="I151" s="1887"/>
      <c r="J151" s="1887"/>
      <c r="K151" s="1887"/>
    </row>
    <row r="152" spans="1:11" x14ac:dyDescent="0.2">
      <c r="A152" s="681"/>
    </row>
    <row r="153" spans="1:11" x14ac:dyDescent="0.2">
      <c r="A153" s="687"/>
      <c r="B153" s="691" t="s">
        <v>348</v>
      </c>
      <c r="C153" s="691" t="s">
        <v>225</v>
      </c>
      <c r="D153" s="691"/>
      <c r="E153" s="691" t="s">
        <v>291</v>
      </c>
      <c r="F153" s="691"/>
      <c r="G153" s="691" t="s">
        <v>250</v>
      </c>
      <c r="H153" s="691"/>
      <c r="I153" s="691" t="s">
        <v>263</v>
      </c>
    </row>
    <row r="154" spans="1:11" x14ac:dyDescent="0.2">
      <c r="A154" s="687"/>
      <c r="B154" s="1310" t="s">
        <v>1511</v>
      </c>
      <c r="C154" s="691">
        <v>0.9</v>
      </c>
      <c r="D154" s="579" t="s">
        <v>71</v>
      </c>
      <c r="E154" s="691">
        <v>2.1</v>
      </c>
      <c r="F154" s="579" t="s">
        <v>71</v>
      </c>
      <c r="G154" s="691">
        <f>1+31</f>
        <v>32</v>
      </c>
      <c r="H154" s="579" t="s">
        <v>72</v>
      </c>
      <c r="I154" s="579">
        <f>ROUND(C154*E154*G154,2)</f>
        <v>60.48</v>
      </c>
    </row>
    <row r="155" spans="1:11" x14ac:dyDescent="0.2">
      <c r="A155" s="687"/>
      <c r="B155" s="124"/>
      <c r="C155" s="124"/>
      <c r="D155" s="124"/>
      <c r="E155" s="124"/>
      <c r="F155" s="124"/>
      <c r="G155" s="124"/>
      <c r="H155" s="124"/>
      <c r="I155" s="124"/>
      <c r="J155" s="124"/>
    </row>
    <row r="156" spans="1:11" x14ac:dyDescent="0.2">
      <c r="A156" s="687"/>
      <c r="B156" s="691" t="s">
        <v>512</v>
      </c>
      <c r="C156" s="691">
        <f>SUM(G154:G154)</f>
        <v>32</v>
      </c>
      <c r="D156" s="697" t="s">
        <v>96</v>
      </c>
      <c r="E156" s="124"/>
      <c r="F156" s="124"/>
      <c r="G156" s="124"/>
      <c r="H156" s="124"/>
      <c r="I156" s="124"/>
      <c r="J156" s="124"/>
    </row>
    <row r="157" spans="1:11" x14ac:dyDescent="0.2">
      <c r="A157" s="687"/>
      <c r="B157" s="124"/>
      <c r="C157" s="124"/>
      <c r="D157" s="124"/>
      <c r="E157" s="124"/>
      <c r="F157" s="124"/>
      <c r="G157" s="124"/>
      <c r="H157" s="124"/>
      <c r="I157" s="124"/>
      <c r="J157" s="124"/>
    </row>
    <row r="158" spans="1:11" ht="13.5" thickBot="1" x14ac:dyDescent="0.25">
      <c r="A158" s="687"/>
    </row>
    <row r="159" spans="1:11" ht="13.5" thickBot="1" x14ac:dyDescent="0.25">
      <c r="A159" s="681"/>
      <c r="B159" s="817" t="s">
        <v>513</v>
      </c>
      <c r="C159" s="818">
        <f>C156</f>
        <v>32</v>
      </c>
      <c r="D159" s="819" t="s">
        <v>96</v>
      </c>
    </row>
    <row r="160" spans="1:11" x14ac:dyDescent="0.2">
      <c r="A160" s="681"/>
    </row>
    <row r="161" spans="1:11" ht="29.25" customHeight="1" x14ac:dyDescent="0.2">
      <c r="A161" s="1205" t="str">
        <f>ORÇ!A111</f>
        <v>9.2.4</v>
      </c>
      <c r="B161" s="1887" t="str">
        <f>ORÇ!D111</f>
        <v>KIT DE PORTA-PRONTA DE MADEIRA EM ACABAMENTO MELAMÍNICO BRANCO, FOLHA LEVE OU MÉDIA, E BATENTE METÁLICO, 80X210CM, FIXAÇÃO COM ARGAMASSA - FORNECIMENTO E INSTALAÇÃO. AF_12/2019</v>
      </c>
      <c r="C161" s="1887"/>
      <c r="D161" s="1887"/>
      <c r="E161" s="1887"/>
      <c r="F161" s="1887"/>
      <c r="G161" s="1887"/>
      <c r="H161" s="1887"/>
      <c r="I161" s="1887"/>
      <c r="J161" s="1887"/>
      <c r="K161" s="1887"/>
    </row>
    <row r="162" spans="1:11" x14ac:dyDescent="0.2">
      <c r="A162" s="1321"/>
      <c r="B162" s="1313"/>
      <c r="C162" s="1313"/>
      <c r="D162" s="1313"/>
      <c r="E162" s="1313"/>
      <c r="F162" s="1313"/>
      <c r="G162" s="1313"/>
      <c r="H162" s="1313"/>
      <c r="I162" s="1313"/>
      <c r="J162" s="1313"/>
      <c r="K162" s="1313"/>
    </row>
    <row r="163" spans="1:11" x14ac:dyDescent="0.2">
      <c r="A163" s="1203"/>
      <c r="B163" s="1199" t="s">
        <v>348</v>
      </c>
      <c r="C163" s="1199" t="s">
        <v>225</v>
      </c>
      <c r="D163" s="1199"/>
      <c r="E163" s="1199" t="s">
        <v>291</v>
      </c>
      <c r="F163" s="1199"/>
      <c r="G163" s="1199" t="s">
        <v>250</v>
      </c>
      <c r="H163" s="1199"/>
      <c r="I163" s="1199" t="s">
        <v>263</v>
      </c>
    </row>
    <row r="164" spans="1:11" x14ac:dyDescent="0.2">
      <c r="A164" s="1203"/>
      <c r="B164" s="1312" t="s">
        <v>507</v>
      </c>
      <c r="C164" s="1199">
        <v>0.8</v>
      </c>
      <c r="D164" s="1207" t="s">
        <v>71</v>
      </c>
      <c r="E164" s="1199">
        <v>2.1</v>
      </c>
      <c r="F164" s="1207" t="s">
        <v>71</v>
      </c>
      <c r="G164" s="1199">
        <v>2</v>
      </c>
      <c r="H164" s="1207" t="s">
        <v>72</v>
      </c>
      <c r="I164" s="1207">
        <f>ROUND(C164*E164*G164,2)</f>
        <v>3.36</v>
      </c>
    </row>
    <row r="165" spans="1:11" x14ac:dyDescent="0.2">
      <c r="A165" s="1203"/>
      <c r="B165" s="1312" t="s">
        <v>499</v>
      </c>
      <c r="C165" s="1199">
        <f>C164</f>
        <v>0.8</v>
      </c>
      <c r="D165" s="1207" t="s">
        <v>71</v>
      </c>
      <c r="E165" s="1199">
        <v>2.1</v>
      </c>
      <c r="F165" s="1207" t="s">
        <v>71</v>
      </c>
      <c r="G165" s="1199">
        <v>3</v>
      </c>
      <c r="H165" s="1207" t="s">
        <v>72</v>
      </c>
      <c r="I165" s="1207">
        <f>ROUND(C165*E165*G165,2)</f>
        <v>5.04</v>
      </c>
    </row>
    <row r="166" spans="1:11" ht="13.5" thickBot="1" x14ac:dyDescent="0.25">
      <c r="A166" s="1203"/>
      <c r="B166" s="124"/>
      <c r="C166" s="124"/>
      <c r="D166" s="124"/>
      <c r="E166" s="124"/>
      <c r="F166" s="124"/>
      <c r="G166" s="124"/>
      <c r="H166" s="124"/>
      <c r="I166" s="124"/>
      <c r="J166" s="124"/>
    </row>
    <row r="167" spans="1:11" ht="13.5" thickBot="1" x14ac:dyDescent="0.25">
      <c r="A167" s="1203"/>
      <c r="B167" s="817" t="s">
        <v>512</v>
      </c>
      <c r="C167" s="818">
        <f>SUM(G164:G165)</f>
        <v>5</v>
      </c>
      <c r="D167" s="819" t="s">
        <v>96</v>
      </c>
      <c r="E167" s="124"/>
      <c r="F167" s="124"/>
      <c r="G167" s="124"/>
      <c r="H167" s="124"/>
      <c r="I167" s="124"/>
      <c r="J167" s="124"/>
    </row>
    <row r="168" spans="1:11" x14ac:dyDescent="0.2">
      <c r="A168" s="1203"/>
    </row>
    <row r="169" spans="1:11" ht="30" customHeight="1" x14ac:dyDescent="0.2">
      <c r="A169" s="1205" t="str">
        <f>ORÇ!A112</f>
        <v>9.2.5</v>
      </c>
      <c r="B169" s="1887" t="str">
        <f>ORÇ!D112</f>
        <v>KIT DE PORTA DE MADEIRA DE MADEIRA EM ACABAMENTO MELAMÍNICO BRANCO, FOLHA LEVE OU MÉDIA, 90X210, ITENS INCLUSOS: DOBRADIÇAS, BARRA DE APOIO EM AÇO INOX PARA PCD, CHAPA DE AÇO INOX E FECHADURA - FORNECIMENTO E INSTALAÇÃO.</v>
      </c>
      <c r="C169" s="1887"/>
      <c r="D169" s="1887"/>
      <c r="E169" s="1887"/>
      <c r="F169" s="1887"/>
      <c r="G169" s="1887"/>
      <c r="H169" s="1887"/>
      <c r="I169" s="1887"/>
      <c r="J169" s="1887"/>
      <c r="K169" s="1887"/>
    </row>
    <row r="170" spans="1:11" x14ac:dyDescent="0.2">
      <c r="A170" s="1205"/>
      <c r="B170" s="1200"/>
      <c r="C170" s="1200"/>
      <c r="D170" s="1200"/>
      <c r="E170" s="1200"/>
      <c r="F170" s="1200"/>
      <c r="G170" s="1200"/>
      <c r="H170" s="1200"/>
      <c r="I170" s="1200"/>
      <c r="J170" s="1200"/>
      <c r="K170" s="1200"/>
    </row>
    <row r="171" spans="1:11" x14ac:dyDescent="0.2">
      <c r="A171" s="1203"/>
      <c r="B171" s="1199" t="s">
        <v>348</v>
      </c>
      <c r="C171" s="1199" t="s">
        <v>225</v>
      </c>
      <c r="D171" s="1199"/>
      <c r="E171" s="1199" t="s">
        <v>291</v>
      </c>
      <c r="F171" s="1199"/>
      <c r="G171" s="1199" t="s">
        <v>250</v>
      </c>
      <c r="H171" s="1199"/>
      <c r="I171" s="1199" t="s">
        <v>263</v>
      </c>
    </row>
    <row r="172" spans="1:11" x14ac:dyDescent="0.2">
      <c r="A172" s="1203"/>
      <c r="B172" s="1327" t="s">
        <v>500</v>
      </c>
      <c r="C172" s="955">
        <v>0.9</v>
      </c>
      <c r="D172" s="1236" t="s">
        <v>71</v>
      </c>
      <c r="E172" s="955">
        <v>2.1</v>
      </c>
      <c r="F172" s="1236" t="s">
        <v>71</v>
      </c>
      <c r="G172" s="955">
        <v>2</v>
      </c>
      <c r="H172" s="1236" t="s">
        <v>72</v>
      </c>
      <c r="I172" s="1236">
        <f>ROUND(C172*E172*G172,2)</f>
        <v>3.78</v>
      </c>
    </row>
    <row r="173" spans="1:11" x14ac:dyDescent="0.2">
      <c r="A173" s="1203"/>
      <c r="B173" s="1204"/>
      <c r="C173" s="586"/>
      <c r="D173" s="1204"/>
      <c r="E173" s="586"/>
      <c r="F173" s="1204"/>
      <c r="G173" s="586"/>
      <c r="H173" s="1204"/>
      <c r="I173" s="586"/>
      <c r="J173" s="586"/>
    </row>
    <row r="174" spans="1:11" x14ac:dyDescent="0.2">
      <c r="A174" s="1203"/>
      <c r="B174" s="1199" t="s">
        <v>512</v>
      </c>
      <c r="C174" s="1199">
        <f>SUM(G172:G172)</f>
        <v>2</v>
      </c>
      <c r="D174" s="1202" t="s">
        <v>96</v>
      </c>
      <c r="E174" s="124"/>
      <c r="F174" s="124"/>
      <c r="G174" s="124"/>
      <c r="H174" s="124"/>
      <c r="I174" s="124"/>
      <c r="J174" s="124"/>
    </row>
    <row r="175" spans="1:11" ht="13.5" thickBot="1" x14ac:dyDescent="0.25">
      <c r="A175" s="1203"/>
    </row>
    <row r="176" spans="1:11" ht="13.5" thickBot="1" x14ac:dyDescent="0.25">
      <c r="A176" s="1203"/>
      <c r="B176" s="817" t="s">
        <v>86</v>
      </c>
      <c r="C176" s="818">
        <f>C174</f>
        <v>2</v>
      </c>
      <c r="D176" s="819" t="s">
        <v>96</v>
      </c>
    </row>
    <row r="177" spans="1:11" ht="13.5" customHeight="1" x14ac:dyDescent="0.2">
      <c r="A177" s="1203"/>
    </row>
    <row r="178" spans="1:11" x14ac:dyDescent="0.2">
      <c r="A178" s="1941" t="str">
        <f>ORÇ!A113</f>
        <v>9.2.6</v>
      </c>
      <c r="B178" s="1887" t="str">
        <f>ORÇ!D113</f>
        <v>PORTA DE MADEIRA, EM ACABAMENTO MELAMÍNICO BRANCO, FOLHA LEVE OU MÉDIA, 2 FOLHAS DE 70X210CM, ESPESSURA DE 3,5CM, ITENS INCLUSOS: DOBRADIÇAS, MONTAGEM E INSTALAÇÃO DO BATENTE, FECHADURA COM EXECUÇÃO DO FURO - FORNECIMENTO E INSTALAÇÃO.</v>
      </c>
      <c r="C178" s="1887"/>
      <c r="D178" s="1887"/>
      <c r="E178" s="1887"/>
      <c r="F178" s="1887"/>
      <c r="G178" s="1887"/>
      <c r="H178" s="1887"/>
      <c r="I178" s="1887"/>
      <c r="J178" s="1887"/>
      <c r="K178" s="1887"/>
    </row>
    <row r="179" spans="1:11" x14ac:dyDescent="0.2">
      <c r="A179" s="1941"/>
      <c r="B179" s="1887"/>
      <c r="C179" s="1887"/>
      <c r="D179" s="1887"/>
      <c r="E179" s="1887"/>
      <c r="F179" s="1887"/>
      <c r="G179" s="1887"/>
      <c r="H179" s="1887"/>
      <c r="I179" s="1887"/>
      <c r="J179" s="1887"/>
      <c r="K179" s="1887"/>
    </row>
    <row r="180" spans="1:11" x14ac:dyDescent="0.2">
      <c r="A180" s="681"/>
    </row>
    <row r="181" spans="1:11" s="124" customFormat="1" x14ac:dyDescent="0.2">
      <c r="A181" s="281"/>
      <c r="B181" s="691" t="s">
        <v>348</v>
      </c>
      <c r="C181" s="691" t="s">
        <v>225</v>
      </c>
      <c r="D181" s="691"/>
      <c r="E181" s="691" t="s">
        <v>291</v>
      </c>
      <c r="F181" s="691"/>
      <c r="G181" s="691" t="s">
        <v>250</v>
      </c>
      <c r="H181" s="691"/>
      <c r="I181" s="691" t="s">
        <v>263</v>
      </c>
    </row>
    <row r="182" spans="1:11" s="124" customFormat="1" x14ac:dyDescent="0.2">
      <c r="A182" s="281"/>
      <c r="B182" s="1310" t="s">
        <v>506</v>
      </c>
      <c r="C182" s="691">
        <v>1.4</v>
      </c>
      <c r="D182" s="579" t="s">
        <v>71</v>
      </c>
      <c r="E182" s="691">
        <v>2.1</v>
      </c>
      <c r="F182" s="579" t="s">
        <v>71</v>
      </c>
      <c r="G182" s="691">
        <v>4</v>
      </c>
      <c r="H182" s="579" t="s">
        <v>72</v>
      </c>
      <c r="I182" s="579">
        <f>ROUND(C182*E182*G182,2)</f>
        <v>11.76</v>
      </c>
    </row>
    <row r="183" spans="1:11" s="124" customFormat="1" x14ac:dyDescent="0.2">
      <c r="A183" s="972"/>
      <c r="B183" s="968"/>
      <c r="C183" s="586"/>
      <c r="D183" s="968"/>
      <c r="E183" s="586"/>
      <c r="F183" s="968"/>
      <c r="G183" s="586"/>
      <c r="H183" s="968"/>
      <c r="I183" s="586"/>
      <c r="J183" s="586"/>
    </row>
    <row r="184" spans="1:11" s="124" customFormat="1" x14ac:dyDescent="0.2">
      <c r="A184" s="281"/>
      <c r="B184" s="691" t="s">
        <v>512</v>
      </c>
      <c r="C184" s="691">
        <f>SUM(G182:G182)</f>
        <v>4</v>
      </c>
      <c r="D184" s="697" t="s">
        <v>96</v>
      </c>
    </row>
    <row r="185" spans="1:11" s="124" customFormat="1" ht="13.5" thickBot="1" x14ac:dyDescent="0.25">
      <c r="A185" s="281"/>
    </row>
    <row r="186" spans="1:11" ht="13.5" thickBot="1" x14ac:dyDescent="0.25">
      <c r="A186" s="681"/>
      <c r="B186" s="817" t="s">
        <v>86</v>
      </c>
      <c r="C186" s="818">
        <f>C184</f>
        <v>4</v>
      </c>
      <c r="D186" s="819" t="s">
        <v>96</v>
      </c>
    </row>
    <row r="187" spans="1:11" x14ac:dyDescent="0.2">
      <c r="A187" s="1229"/>
      <c r="B187" s="5"/>
      <c r="C187" s="585"/>
      <c r="D187" s="585"/>
    </row>
    <row r="188" spans="1:11" x14ac:dyDescent="0.2">
      <c r="A188" s="22"/>
      <c r="B188" s="1217"/>
      <c r="C188" s="1217"/>
      <c r="D188" s="1217"/>
      <c r="E188" s="1217"/>
      <c r="F188" s="1217"/>
      <c r="G188" s="1217"/>
      <c r="H188" s="1217"/>
      <c r="I188" s="1217"/>
      <c r="J188" s="1217"/>
      <c r="K188" s="1217"/>
    </row>
    <row r="189" spans="1:11" x14ac:dyDescent="0.2">
      <c r="A189" s="1230" t="str">
        <f>ORÇ!A114</f>
        <v>9.2.7</v>
      </c>
      <c r="B189" s="1887" t="str">
        <f>ORÇ!D114</f>
        <v>FECHADURA DE EMBUTIR PARA PORTAS INTERNAS, COMPLETA, ACABAMENTO PADRÃO POPULAR, COM EXECUÇÃO DE FURO - FORNECIMENTO E INSTALAÇÃO. AF_12/2019</v>
      </c>
      <c r="C189" s="1887"/>
      <c r="D189" s="1887"/>
      <c r="E189" s="1887"/>
      <c r="F189" s="1887"/>
      <c r="G189" s="1887"/>
      <c r="H189" s="1887"/>
      <c r="I189" s="1887"/>
      <c r="J189" s="1887"/>
      <c r="K189" s="1887"/>
    </row>
    <row r="190" spans="1:11" x14ac:dyDescent="0.2">
      <c r="A190" s="1230"/>
      <c r="B190" s="1220"/>
      <c r="C190" s="1220"/>
      <c r="D190" s="1220"/>
      <c r="E190" s="1220"/>
      <c r="F190" s="1220"/>
      <c r="G190" s="1220"/>
      <c r="H190" s="1220"/>
      <c r="I190" s="1220"/>
      <c r="J190" s="1220"/>
      <c r="K190" s="1220"/>
    </row>
    <row r="191" spans="1:11" ht="29.25" customHeight="1" x14ac:dyDescent="0.2">
      <c r="A191" s="1230"/>
      <c r="B191" s="1963" t="s">
        <v>1262</v>
      </c>
      <c r="C191" s="1963"/>
      <c r="D191" s="1963"/>
      <c r="E191" s="1963"/>
      <c r="F191" s="1963"/>
      <c r="G191" s="1963"/>
      <c r="H191" s="1963"/>
      <c r="I191" s="1963"/>
      <c r="J191" s="1963"/>
      <c r="K191" s="1963"/>
    </row>
    <row r="192" spans="1:11" x14ac:dyDescent="0.2">
      <c r="A192" s="1230"/>
      <c r="B192" s="1175" t="s">
        <v>1263</v>
      </c>
      <c r="C192" s="1216"/>
      <c r="D192" s="1216"/>
      <c r="E192" s="1216"/>
      <c r="F192" s="1216"/>
      <c r="G192" s="1216"/>
      <c r="H192" s="1216"/>
      <c r="I192" s="1216"/>
      <c r="J192" s="1216"/>
      <c r="K192" s="1216"/>
    </row>
    <row r="193" spans="1:11" x14ac:dyDescent="0.2">
      <c r="A193" s="1230"/>
      <c r="B193" s="1220"/>
      <c r="C193" s="1220"/>
      <c r="D193" s="1220"/>
      <c r="E193" s="1220"/>
      <c r="F193" s="1220"/>
      <c r="G193" s="1220"/>
      <c r="H193" s="1220"/>
      <c r="I193" s="1220"/>
      <c r="J193" s="1220"/>
      <c r="K193" s="1220"/>
    </row>
    <row r="194" spans="1:11" ht="13.5" customHeight="1" x14ac:dyDescent="0.2">
      <c r="A194" s="1230"/>
      <c r="B194" s="1220"/>
      <c r="C194" s="1220"/>
      <c r="D194" s="1232" t="s">
        <v>35</v>
      </c>
      <c r="E194" s="1220"/>
      <c r="F194" s="1220"/>
      <c r="G194" s="1220"/>
      <c r="H194" s="1220"/>
      <c r="I194" s="1220"/>
      <c r="J194" s="1220"/>
      <c r="K194" s="1220"/>
    </row>
    <row r="195" spans="1:11" x14ac:dyDescent="0.2">
      <c r="A195" s="1230"/>
      <c r="B195" s="1923" t="s">
        <v>1261</v>
      </c>
      <c r="C195" s="1222" t="str">
        <f>A140</f>
        <v>9.2.2</v>
      </c>
      <c r="D195" s="1228">
        <f>C148</f>
        <v>3</v>
      </c>
      <c r="E195" s="1220"/>
      <c r="F195" s="1220"/>
      <c r="G195" s="1220"/>
      <c r="H195" s="1220"/>
      <c r="I195" s="1220"/>
      <c r="J195" s="1220"/>
      <c r="K195" s="1220"/>
    </row>
    <row r="196" spans="1:11" x14ac:dyDescent="0.2">
      <c r="A196" s="1230"/>
      <c r="B196" s="1923"/>
      <c r="C196" s="1222" t="str">
        <f>A150</f>
        <v>9.2.3</v>
      </c>
      <c r="D196" s="1228">
        <f>C159</f>
        <v>32</v>
      </c>
      <c r="E196" s="1220"/>
      <c r="F196" s="1220"/>
      <c r="G196" s="1220"/>
      <c r="H196" s="1220"/>
      <c r="I196" s="1220"/>
      <c r="J196" s="1220"/>
      <c r="K196" s="1220"/>
    </row>
    <row r="197" spans="1:11" x14ac:dyDescent="0.2">
      <c r="A197" s="1230"/>
      <c r="B197" s="1962"/>
      <c r="C197" s="1223" t="str">
        <f>A161</f>
        <v>9.2.4</v>
      </c>
      <c r="D197" s="1226">
        <f>C167</f>
        <v>5</v>
      </c>
      <c r="E197" s="1220"/>
      <c r="F197" s="1220"/>
      <c r="G197" s="1220"/>
      <c r="H197" s="1220"/>
      <c r="I197" s="1220"/>
      <c r="J197" s="1220"/>
      <c r="K197" s="1220"/>
    </row>
    <row r="198" spans="1:11" x14ac:dyDescent="0.2">
      <c r="A198" s="1230"/>
      <c r="B198" s="1220"/>
      <c r="C198" s="1216" t="s">
        <v>1035</v>
      </c>
      <c r="D198" s="1232">
        <f>SUM(D195:D197)</f>
        <v>40</v>
      </c>
      <c r="E198" s="1220"/>
      <c r="F198" s="1220"/>
      <c r="G198" s="1220"/>
      <c r="H198" s="1220"/>
      <c r="I198" s="1220"/>
      <c r="J198" s="1220"/>
      <c r="K198" s="1220"/>
    </row>
    <row r="199" spans="1:11" ht="13.5" thickBot="1" x14ac:dyDescent="0.25">
      <c r="A199" s="1230"/>
      <c r="B199" s="1220"/>
      <c r="C199" s="1220"/>
      <c r="D199" s="1220"/>
      <c r="E199" s="1220"/>
      <c r="F199" s="1220"/>
      <c r="G199" s="1220"/>
      <c r="H199" s="1220"/>
      <c r="I199" s="1220"/>
      <c r="J199" s="1220"/>
      <c r="K199" s="1220"/>
    </row>
    <row r="200" spans="1:11" ht="13.5" thickBot="1" x14ac:dyDescent="0.25">
      <c r="A200" s="1230"/>
      <c r="B200" s="817" t="s">
        <v>86</v>
      </c>
      <c r="C200" s="818">
        <f>D198</f>
        <v>40</v>
      </c>
      <c r="D200" s="819" t="s">
        <v>96</v>
      </c>
      <c r="E200" s="1220"/>
      <c r="F200" s="1220"/>
      <c r="G200" s="1220"/>
      <c r="H200" s="1220"/>
      <c r="I200" s="1220"/>
      <c r="J200" s="1220"/>
      <c r="K200" s="1220"/>
    </row>
    <row r="201" spans="1:11" x14ac:dyDescent="0.2">
      <c r="A201" s="1230"/>
      <c r="B201" s="1220"/>
      <c r="C201" s="1220"/>
      <c r="D201" s="1220"/>
      <c r="E201" s="1220"/>
      <c r="F201" s="1220"/>
      <c r="G201" s="1220"/>
      <c r="H201" s="1220"/>
      <c r="I201" s="1220"/>
      <c r="J201" s="1220"/>
      <c r="K201" s="1220"/>
    </row>
    <row r="202" spans="1:11" x14ac:dyDescent="0.2">
      <c r="A202" s="1941" t="str">
        <f>ORÇ!A115</f>
        <v>9.2.8</v>
      </c>
      <c r="B202" s="1887" t="str">
        <f>ORÇ!D115</f>
        <v>FORNECIMENTO E INSTALAÇÃO DE PORTA DE ABRIR COM MOLA HIDRÁULICA, EM VIDRO TEMPERADO, 2 FOLHAS DE 75X210 CM, ESPESSURA 10MM, INCLUSIVE ACESSÓRIOS E BARRA ANTIPÂNICO DUPLA.</v>
      </c>
      <c r="C202" s="1887"/>
      <c r="D202" s="1887"/>
      <c r="E202" s="1887"/>
      <c r="F202" s="1887"/>
      <c r="G202" s="1887"/>
      <c r="H202" s="1887"/>
      <c r="I202" s="1887"/>
      <c r="J202" s="1887"/>
      <c r="K202" s="1887"/>
    </row>
    <row r="203" spans="1:11" x14ac:dyDescent="0.2">
      <c r="A203" s="1941"/>
      <c r="B203" s="1887"/>
      <c r="C203" s="1887"/>
      <c r="D203" s="1887"/>
      <c r="E203" s="1887"/>
      <c r="F203" s="1887"/>
      <c r="G203" s="1887"/>
      <c r="H203" s="1887"/>
      <c r="I203" s="1887"/>
      <c r="J203" s="1887"/>
      <c r="K203" s="1887"/>
    </row>
    <row r="204" spans="1:11" x14ac:dyDescent="0.2">
      <c r="A204" s="1321"/>
      <c r="B204" s="1313"/>
      <c r="C204" s="1313"/>
      <c r="D204" s="1313"/>
      <c r="E204" s="1313"/>
      <c r="F204" s="1313"/>
      <c r="G204" s="1313"/>
      <c r="H204" s="1313"/>
      <c r="I204" s="1313"/>
      <c r="J204" s="1313"/>
      <c r="K204" s="1313"/>
    </row>
    <row r="205" spans="1:11" x14ac:dyDescent="0.2">
      <c r="A205" s="681"/>
      <c r="B205" s="1312" t="s">
        <v>348</v>
      </c>
      <c r="C205" s="1312" t="s">
        <v>225</v>
      </c>
      <c r="D205" s="1312"/>
      <c r="E205" s="1312" t="s">
        <v>291</v>
      </c>
      <c r="F205" s="1312"/>
      <c r="G205" s="1312" t="s">
        <v>250</v>
      </c>
      <c r="H205" s="1312"/>
      <c r="I205" s="683" t="s">
        <v>263</v>
      </c>
    </row>
    <row r="206" spans="1:11" x14ac:dyDescent="0.2">
      <c r="A206" s="681"/>
      <c r="B206" s="1312" t="s">
        <v>504</v>
      </c>
      <c r="C206" s="1312">
        <v>1.5</v>
      </c>
      <c r="D206" s="1312" t="s">
        <v>71</v>
      </c>
      <c r="E206" s="1312">
        <v>2.1</v>
      </c>
      <c r="F206" s="1312" t="s">
        <v>71</v>
      </c>
      <c r="G206" s="1312">
        <v>6</v>
      </c>
      <c r="H206" s="1312" t="s">
        <v>72</v>
      </c>
      <c r="I206" s="683">
        <f>ROUND(C206*E206*G206,2)</f>
        <v>18.899999999999999</v>
      </c>
    </row>
    <row r="207" spans="1:11" ht="13.5" thickBot="1" x14ac:dyDescent="0.25">
      <c r="A207" s="969"/>
      <c r="B207" s="206"/>
      <c r="C207" s="711"/>
      <c r="D207" s="968"/>
      <c r="E207" s="968"/>
      <c r="F207" s="968"/>
      <c r="G207" s="968"/>
      <c r="H207" s="968"/>
      <c r="I207" s="968"/>
      <c r="J207" s="968"/>
    </row>
    <row r="208" spans="1:11" ht="13.5" thickBot="1" x14ac:dyDescent="0.25">
      <c r="A208" s="681"/>
      <c r="B208" s="981" t="s">
        <v>50</v>
      </c>
      <c r="C208" s="982">
        <f>G206</f>
        <v>6</v>
      </c>
      <c r="D208" s="983" t="s">
        <v>96</v>
      </c>
      <c r="G208" s="889"/>
    </row>
    <row r="209" spans="1:11" x14ac:dyDescent="0.2">
      <c r="A209" s="681"/>
      <c r="B209" s="38"/>
      <c r="G209" s="889"/>
    </row>
    <row r="210" spans="1:11" x14ac:dyDescent="0.2">
      <c r="A210" s="681"/>
    </row>
    <row r="211" spans="1:11" x14ac:dyDescent="0.2">
      <c r="A211" s="1941" t="str">
        <f>ORÇ!A116</f>
        <v>9.2.9</v>
      </c>
      <c r="B211" s="1887" t="str">
        <f>ORÇ!D116</f>
        <v>FORNECIMENTO E INSTALAÇÃO DE PORTA DE ABRIR COM MOLA HIDRÁULICA, EM VIDRO TEMPERADO, 2 FOLHAS DE 90X210 CM, ESPESSURA 10MM, INCLUSIVE ACESSÓRIOS E BARRA ANTIPÂNICO DUPLA.</v>
      </c>
      <c r="C211" s="1887"/>
      <c r="D211" s="1887"/>
      <c r="E211" s="1887"/>
      <c r="F211" s="1887"/>
      <c r="G211" s="1887"/>
      <c r="H211" s="1887"/>
      <c r="I211" s="1887"/>
      <c r="J211" s="1887"/>
      <c r="K211" s="1887"/>
    </row>
    <row r="212" spans="1:11" x14ac:dyDescent="0.2">
      <c r="A212" s="1941"/>
      <c r="B212" s="1887"/>
      <c r="C212" s="1887"/>
      <c r="D212" s="1887"/>
      <c r="E212" s="1887"/>
      <c r="F212" s="1887"/>
      <c r="G212" s="1887"/>
      <c r="H212" s="1887"/>
      <c r="I212" s="1887"/>
      <c r="J212" s="1887"/>
      <c r="K212" s="1887"/>
    </row>
    <row r="213" spans="1:11" x14ac:dyDescent="0.2">
      <c r="A213" s="681"/>
    </row>
    <row r="214" spans="1:11" x14ac:dyDescent="0.2">
      <c r="A214" s="681"/>
      <c r="B214" s="683" t="s">
        <v>348</v>
      </c>
      <c r="C214" s="683" t="s">
        <v>225</v>
      </c>
      <c r="D214" s="683"/>
      <c r="E214" s="683" t="s">
        <v>291</v>
      </c>
      <c r="F214" s="683"/>
      <c r="G214" s="683" t="s">
        <v>250</v>
      </c>
      <c r="H214" s="683"/>
      <c r="I214" s="683" t="s">
        <v>263</v>
      </c>
    </row>
    <row r="215" spans="1:11" x14ac:dyDescent="0.2">
      <c r="A215" s="681"/>
      <c r="B215" s="1312" t="s">
        <v>505</v>
      </c>
      <c r="C215" s="1312">
        <v>1.8</v>
      </c>
      <c r="D215" s="1312" t="s">
        <v>71</v>
      </c>
      <c r="E215" s="1312">
        <v>2.2999999999999998</v>
      </c>
      <c r="F215" s="1312" t="s">
        <v>71</v>
      </c>
      <c r="G215" s="1312">
        <v>2</v>
      </c>
      <c r="H215" s="683" t="s">
        <v>72</v>
      </c>
      <c r="I215" s="683">
        <f>ROUND(C215*E215*G215,2)</f>
        <v>8.2799999999999994</v>
      </c>
    </row>
    <row r="216" spans="1:11" ht="13.5" thickBot="1" x14ac:dyDescent="0.25">
      <c r="A216" s="681"/>
      <c r="B216" s="38"/>
      <c r="C216" s="38"/>
      <c r="D216" s="682"/>
      <c r="E216" s="682"/>
      <c r="F216" s="682"/>
      <c r="G216" s="682"/>
      <c r="H216" s="682"/>
      <c r="I216" s="682"/>
      <c r="J216" s="682"/>
    </row>
    <row r="217" spans="1:11" ht="13.5" thickBot="1" x14ac:dyDescent="0.25">
      <c r="A217" s="681"/>
      <c r="B217" s="981" t="s">
        <v>86</v>
      </c>
      <c r="C217" s="982">
        <f>G215</f>
        <v>2</v>
      </c>
      <c r="D217" s="983" t="s">
        <v>96</v>
      </c>
      <c r="E217" s="682"/>
      <c r="F217" s="682"/>
      <c r="G217" s="682"/>
      <c r="H217" s="682"/>
      <c r="I217" s="682"/>
      <c r="J217" s="682"/>
    </row>
    <row r="218" spans="1:11" x14ac:dyDescent="0.2">
      <c r="A218" s="687"/>
      <c r="B218" s="703"/>
      <c r="C218" s="707"/>
      <c r="D218" s="707"/>
      <c r="E218" s="689"/>
      <c r="F218" s="689"/>
      <c r="G218" s="689"/>
      <c r="H218" s="689"/>
      <c r="I218" s="689"/>
      <c r="J218" s="689"/>
    </row>
    <row r="219" spans="1:11" x14ac:dyDescent="0.2">
      <c r="A219" s="1320"/>
      <c r="B219" s="703"/>
      <c r="C219" s="707"/>
      <c r="D219" s="707"/>
      <c r="E219" s="1324"/>
      <c r="F219" s="1324"/>
      <c r="G219" s="1324"/>
      <c r="H219" s="1324"/>
      <c r="I219" s="1324"/>
      <c r="J219" s="1324"/>
    </row>
    <row r="220" spans="1:11" x14ac:dyDescent="0.2">
      <c r="A220" s="1321" t="str">
        <f>ORÇ!A117</f>
        <v>9.2.10</v>
      </c>
      <c r="B220" s="1887" t="str">
        <f>ORÇ!D117</f>
        <v>PORTA EM ALUMÍNIO DE ABRIR TIPO VENEZIANA COM GUARNIÇÃO, FIXAÇÃO COM PARAFUSOS - FORNECIMENTO E INSTALAÇÃO. AF_12/2019</v>
      </c>
      <c r="C220" s="1887"/>
      <c r="D220" s="1887"/>
      <c r="E220" s="1887"/>
      <c r="F220" s="1887"/>
      <c r="G220" s="1887"/>
      <c r="H220" s="1887"/>
      <c r="I220" s="1887"/>
      <c r="J220" s="1887"/>
      <c r="K220" s="1887"/>
    </row>
    <row r="221" spans="1:11" x14ac:dyDescent="0.2">
      <c r="A221" s="1321"/>
      <c r="B221" s="1313"/>
      <c r="C221" s="1313"/>
      <c r="D221" s="1313"/>
      <c r="E221" s="1313"/>
      <c r="F221" s="1313"/>
      <c r="G221" s="1313"/>
      <c r="H221" s="1313"/>
      <c r="I221" s="1313"/>
      <c r="J221" s="1313"/>
      <c r="K221" s="1313"/>
    </row>
    <row r="222" spans="1:11" x14ac:dyDescent="0.2">
      <c r="B222" s="526" t="s">
        <v>348</v>
      </c>
      <c r="C222" s="526" t="s">
        <v>225</v>
      </c>
      <c r="D222" s="576"/>
      <c r="E222" s="526" t="s">
        <v>291</v>
      </c>
      <c r="F222" s="695"/>
      <c r="G222" s="526" t="s">
        <v>250</v>
      </c>
      <c r="H222" s="576"/>
      <c r="I222" s="526" t="s">
        <v>263</v>
      </c>
    </row>
    <row r="223" spans="1:11" x14ac:dyDescent="0.2">
      <c r="A223" s="1203"/>
      <c r="B223" s="1326" t="s">
        <v>968</v>
      </c>
      <c r="C223" s="530">
        <v>0.7</v>
      </c>
      <c r="D223" s="530" t="s">
        <v>71</v>
      </c>
      <c r="E223" s="530">
        <v>1.6</v>
      </c>
      <c r="F223" s="530" t="s">
        <v>71</v>
      </c>
      <c r="G223" s="530">
        <v>6</v>
      </c>
      <c r="H223" s="530" t="s">
        <v>72</v>
      </c>
      <c r="I223" s="577">
        <f t="shared" ref="I223" si="40">ROUND((C223*E223*G223),2)</f>
        <v>6.72</v>
      </c>
    </row>
    <row r="224" spans="1:11" x14ac:dyDescent="0.2">
      <c r="B224" s="1326" t="s">
        <v>1193</v>
      </c>
      <c r="C224" s="577">
        <v>0.8</v>
      </c>
      <c r="D224" s="530" t="s">
        <v>71</v>
      </c>
      <c r="E224" s="577">
        <f>E223</f>
        <v>1.6</v>
      </c>
      <c r="F224" s="530" t="s">
        <v>71</v>
      </c>
      <c r="G224" s="1234">
        <v>8</v>
      </c>
      <c r="H224" s="530" t="s">
        <v>72</v>
      </c>
      <c r="I224" s="577">
        <f t="shared" ref="I224" si="41">ROUND((C224*E224*G224),2)</f>
        <v>10.24</v>
      </c>
    </row>
    <row r="225" spans="1:11" x14ac:dyDescent="0.2">
      <c r="A225" s="912"/>
      <c r="B225" s="911" t="s">
        <v>832</v>
      </c>
      <c r="C225" s="577">
        <v>1.5</v>
      </c>
      <c r="D225" s="913" t="s">
        <v>71</v>
      </c>
      <c r="E225" s="577">
        <v>2.1</v>
      </c>
      <c r="F225" s="913" t="s">
        <v>71</v>
      </c>
      <c r="G225" s="577">
        <v>1</v>
      </c>
      <c r="H225" s="913" t="s">
        <v>72</v>
      </c>
      <c r="I225" s="577">
        <f>ROUND((C225*E225*G225),2)</f>
        <v>3.15</v>
      </c>
    </row>
    <row r="227" spans="1:11" x14ac:dyDescent="0.2">
      <c r="B227" s="680" t="s">
        <v>359</v>
      </c>
      <c r="C227" s="694">
        <f>SUM(I223:I225)</f>
        <v>20.11</v>
      </c>
      <c r="D227" s="694" t="s">
        <v>6</v>
      </c>
      <c r="G227" s="827"/>
    </row>
    <row r="228" spans="1:11" ht="13.5" thickBot="1" x14ac:dyDescent="0.25"/>
    <row r="229" spans="1:11" ht="13.5" thickBot="1" x14ac:dyDescent="0.25">
      <c r="B229" s="817" t="s">
        <v>50</v>
      </c>
      <c r="C229" s="818">
        <f>C227</f>
        <v>20.11</v>
      </c>
      <c r="D229" s="819" t="s">
        <v>6</v>
      </c>
    </row>
    <row r="230" spans="1:11" x14ac:dyDescent="0.2">
      <c r="A230" s="687"/>
      <c r="B230" s="5"/>
      <c r="C230" s="585"/>
      <c r="D230" s="585"/>
    </row>
    <row r="231" spans="1:11" x14ac:dyDescent="0.2">
      <c r="A231" s="1941" t="str">
        <f>ORÇ!A118</f>
        <v>9.2.11</v>
      </c>
      <c r="B231" s="1887" t="str">
        <f>ORÇ!D118</f>
        <v>FORNECIMENTO E INSTALAÇÃO DE PORTÃO DE ABRIR 4,00x2,00M EM GRADIL, INCLUINDO DOBRADIÇA, CADEADO, LIXAMENTO E PINTURA ANTICORROSIVA.</v>
      </c>
      <c r="C231" s="1887"/>
      <c r="D231" s="1887"/>
      <c r="E231" s="1887"/>
      <c r="F231" s="1887"/>
      <c r="G231" s="1887"/>
      <c r="H231" s="1887"/>
      <c r="I231" s="1887"/>
      <c r="J231" s="1887"/>
      <c r="K231" s="1887"/>
    </row>
    <row r="232" spans="1:11" x14ac:dyDescent="0.2">
      <c r="A232" s="1941"/>
      <c r="B232" s="1887"/>
      <c r="C232" s="1887"/>
      <c r="D232" s="1887"/>
      <c r="E232" s="1887"/>
      <c r="F232" s="1887"/>
      <c r="G232" s="1887"/>
      <c r="H232" s="1887"/>
      <c r="I232" s="1887"/>
      <c r="J232" s="1887"/>
      <c r="K232" s="1887"/>
    </row>
    <row r="233" spans="1:11" x14ac:dyDescent="0.2">
      <c r="A233" s="797"/>
      <c r="B233" s="5"/>
      <c r="C233" s="585"/>
      <c r="D233" s="585"/>
    </row>
    <row r="234" spans="1:11" ht="13.5" thickBot="1" x14ac:dyDescent="0.25">
      <c r="A234" s="797"/>
      <c r="B234" s="38" t="s">
        <v>969</v>
      </c>
    </row>
    <row r="235" spans="1:11" ht="13.5" thickBot="1" x14ac:dyDescent="0.25">
      <c r="A235" s="797"/>
      <c r="B235" s="817" t="s">
        <v>358</v>
      </c>
      <c r="C235" s="818">
        <v>1</v>
      </c>
      <c r="D235" s="819" t="s">
        <v>96</v>
      </c>
    </row>
    <row r="236" spans="1:11" x14ac:dyDescent="0.2">
      <c r="A236" s="797"/>
    </row>
    <row r="237" spans="1:11" x14ac:dyDescent="0.2">
      <c r="A237" s="1941" t="str">
        <f>ORÇ!A119</f>
        <v>9.2.12</v>
      </c>
      <c r="B237" s="1887" t="str">
        <f>ORÇ!D119</f>
        <v>FORNECIMENTO E INSTALAÇÃO DE PORTÃO DE ABRIR 1,00x2,00M EM GRADIL, INCLUINDO DOBRADIÇA, CADEADO, LIXAMENTO E PINTURA ANTICORROSIVA.</v>
      </c>
      <c r="C237" s="1887"/>
      <c r="D237" s="1887"/>
      <c r="E237" s="1887"/>
      <c r="F237" s="1887"/>
      <c r="G237" s="1887"/>
      <c r="H237" s="1887"/>
      <c r="I237" s="1887"/>
      <c r="J237" s="1887"/>
      <c r="K237" s="1887"/>
    </row>
    <row r="238" spans="1:11" x14ac:dyDescent="0.2">
      <c r="A238" s="1941"/>
      <c r="B238" s="1887"/>
      <c r="C238" s="1887"/>
      <c r="D238" s="1887"/>
      <c r="E238" s="1887"/>
      <c r="F238" s="1887"/>
      <c r="G238" s="1887"/>
      <c r="H238" s="1887"/>
      <c r="I238" s="1887"/>
      <c r="J238" s="1887"/>
      <c r="K238" s="1887"/>
    </row>
    <row r="239" spans="1:11" x14ac:dyDescent="0.2">
      <c r="A239" s="797"/>
      <c r="B239" s="5"/>
      <c r="C239" s="585"/>
      <c r="D239" s="585"/>
    </row>
    <row r="240" spans="1:11" ht="13.5" thickBot="1" x14ac:dyDescent="0.25">
      <c r="A240" s="797"/>
      <c r="B240" s="38" t="s">
        <v>1190</v>
      </c>
    </row>
    <row r="241" spans="1:11" ht="13.5" thickBot="1" x14ac:dyDescent="0.25">
      <c r="A241" s="797"/>
      <c r="B241" s="817" t="s">
        <v>358</v>
      </c>
      <c r="C241" s="818">
        <v>4</v>
      </c>
      <c r="D241" s="819" t="s">
        <v>96</v>
      </c>
    </row>
    <row r="242" spans="1:11" x14ac:dyDescent="0.2">
      <c r="A242" s="797"/>
    </row>
    <row r="243" spans="1:11" x14ac:dyDescent="0.2">
      <c r="A243" s="1941" t="str">
        <f>ORÇ!A120</f>
        <v>9.2.13</v>
      </c>
      <c r="B243" s="1887" t="str">
        <f>ORÇ!D120</f>
        <v>SOLEIRA EM GRANITO, LARGURA 15 CM, ESPESSURA 2,0 CM. AF_09/2020</v>
      </c>
      <c r="C243" s="1887"/>
      <c r="D243" s="1887"/>
      <c r="E243" s="1887"/>
      <c r="F243" s="1887"/>
      <c r="G243" s="1887"/>
      <c r="H243" s="1887"/>
      <c r="I243" s="1887"/>
      <c r="J243" s="1887"/>
      <c r="K243" s="1887"/>
    </row>
    <row r="244" spans="1:11" x14ac:dyDescent="0.2">
      <c r="A244" s="1941"/>
      <c r="B244" s="1887"/>
      <c r="C244" s="1887"/>
      <c r="D244" s="1887"/>
      <c r="E244" s="1887"/>
      <c r="F244" s="1887"/>
      <c r="G244" s="1887"/>
      <c r="H244" s="1887"/>
      <c r="I244" s="1887"/>
      <c r="J244" s="1887"/>
      <c r="K244" s="1887"/>
    </row>
    <row r="245" spans="1:11" s="329" customFormat="1" ht="25.5" x14ac:dyDescent="0.2">
      <c r="A245" s="566"/>
      <c r="B245" s="1312" t="s">
        <v>290</v>
      </c>
      <c r="C245" s="1312" t="s">
        <v>356</v>
      </c>
      <c r="D245" s="1312"/>
      <c r="E245" s="1312" t="s">
        <v>510</v>
      </c>
      <c r="F245" s="1312"/>
      <c r="G245" s="1312" t="s">
        <v>358</v>
      </c>
      <c r="H245" s="1312"/>
      <c r="I245" s="1312" t="s">
        <v>255</v>
      </c>
    </row>
    <row r="246" spans="1:11" s="329" customFormat="1" x14ac:dyDescent="0.2">
      <c r="A246" s="662"/>
      <c r="B246" s="1328" t="str">
        <f>B206</f>
        <v>P2</v>
      </c>
      <c r="C246" s="1328">
        <f>C206</f>
        <v>1.5</v>
      </c>
      <c r="D246" s="1312" t="s">
        <v>75</v>
      </c>
      <c r="E246" s="1312">
        <v>0.06</v>
      </c>
      <c r="F246" s="1312" t="s">
        <v>71</v>
      </c>
      <c r="G246" s="1328">
        <f>G206</f>
        <v>6</v>
      </c>
      <c r="H246" s="1312" t="s">
        <v>72</v>
      </c>
      <c r="I246" s="1312">
        <f t="shared" ref="I246:I247" si="42">ROUND(((C246+E246)*G246),2)</f>
        <v>9.36</v>
      </c>
    </row>
    <row r="247" spans="1:11" s="329" customFormat="1" ht="12" customHeight="1" x14ac:dyDescent="0.2">
      <c r="A247" s="662"/>
      <c r="B247" s="1328" t="str">
        <f>B215</f>
        <v>P3</v>
      </c>
      <c r="C247" s="1328">
        <f>C215</f>
        <v>1.8</v>
      </c>
      <c r="D247" s="1312" t="s">
        <v>75</v>
      </c>
      <c r="E247" s="1312">
        <f t="shared" ref="E247:E253" si="43">E246</f>
        <v>0.06</v>
      </c>
      <c r="F247" s="1312" t="s">
        <v>71</v>
      </c>
      <c r="G247" s="1328">
        <f>G215</f>
        <v>2</v>
      </c>
      <c r="H247" s="1312" t="s">
        <v>72</v>
      </c>
      <c r="I247" s="1312">
        <f t="shared" si="42"/>
        <v>3.72</v>
      </c>
    </row>
    <row r="248" spans="1:11" s="329" customFormat="1" x14ac:dyDescent="0.2">
      <c r="A248" s="662"/>
      <c r="B248" s="1312" t="str">
        <f>B182</f>
        <v>P4</v>
      </c>
      <c r="C248" s="1312">
        <f>C182</f>
        <v>1.4</v>
      </c>
      <c r="D248" s="1312" t="s">
        <v>75</v>
      </c>
      <c r="E248" s="1312">
        <f t="shared" si="43"/>
        <v>0.06</v>
      </c>
      <c r="F248" s="1312" t="s">
        <v>71</v>
      </c>
      <c r="G248" s="1312">
        <f>G182</f>
        <v>4</v>
      </c>
      <c r="H248" s="1312" t="s">
        <v>72</v>
      </c>
      <c r="I248" s="1312">
        <f>ROUND(((C248+E248)*G248),2)</f>
        <v>5.84</v>
      </c>
    </row>
    <row r="249" spans="1:11" s="329" customFormat="1" x14ac:dyDescent="0.2">
      <c r="A249" s="662"/>
      <c r="B249" s="1328" t="str">
        <f>B164</f>
        <v>P5</v>
      </c>
      <c r="C249" s="1328">
        <f>C164</f>
        <v>0.8</v>
      </c>
      <c r="D249" s="1312" t="s">
        <v>75</v>
      </c>
      <c r="E249" s="1312">
        <f t="shared" si="43"/>
        <v>0.06</v>
      </c>
      <c r="F249" s="1312" t="s">
        <v>71</v>
      </c>
      <c r="G249" s="1328">
        <f>G164</f>
        <v>2</v>
      </c>
      <c r="H249" s="1312" t="s">
        <v>72</v>
      </c>
      <c r="I249" s="1312">
        <f>ROUND(((C249+E249)*G249),2)</f>
        <v>1.72</v>
      </c>
    </row>
    <row r="250" spans="1:11" s="329" customFormat="1" x14ac:dyDescent="0.2">
      <c r="A250" s="566"/>
      <c r="B250" s="1312" t="str">
        <f>B144</f>
        <v>P6</v>
      </c>
      <c r="C250" s="1312">
        <f>C144</f>
        <v>0.7</v>
      </c>
      <c r="D250" s="1312" t="s">
        <v>75</v>
      </c>
      <c r="E250" s="1312">
        <f t="shared" si="43"/>
        <v>0.06</v>
      </c>
      <c r="F250" s="1312" t="s">
        <v>71</v>
      </c>
      <c r="G250" s="1312">
        <f>G144</f>
        <v>3</v>
      </c>
      <c r="H250" s="1312" t="s">
        <v>72</v>
      </c>
      <c r="I250" s="1312">
        <f t="shared" ref="I250" si="44">ROUND(((C250+E250)*G250),2)</f>
        <v>2.2799999999999998</v>
      </c>
    </row>
    <row r="251" spans="1:11" s="329" customFormat="1" x14ac:dyDescent="0.2">
      <c r="A251" s="662"/>
      <c r="B251" s="1328" t="str">
        <f>B154</f>
        <v>P1 e P7</v>
      </c>
      <c r="C251" s="1328">
        <f>C154</f>
        <v>0.9</v>
      </c>
      <c r="D251" s="1312" t="s">
        <v>75</v>
      </c>
      <c r="E251" s="1312">
        <f t="shared" si="43"/>
        <v>0.06</v>
      </c>
      <c r="F251" s="1328" t="str">
        <f>F154</f>
        <v>x</v>
      </c>
      <c r="G251" s="1328">
        <f>G154</f>
        <v>32</v>
      </c>
      <c r="H251" s="1312" t="s">
        <v>72</v>
      </c>
      <c r="I251" s="1312">
        <f t="shared" ref="I251" si="45">ROUND(((C251+E251)*G251),2)</f>
        <v>30.72</v>
      </c>
    </row>
    <row r="252" spans="1:11" s="329" customFormat="1" x14ac:dyDescent="0.2">
      <c r="A252" s="662"/>
      <c r="B252" s="1328" t="str">
        <f>B165</f>
        <v>P8</v>
      </c>
      <c r="C252" s="1328">
        <f>C165</f>
        <v>0.8</v>
      </c>
      <c r="D252" s="1312" t="s">
        <v>75</v>
      </c>
      <c r="E252" s="1312">
        <f t="shared" si="43"/>
        <v>0.06</v>
      </c>
      <c r="F252" s="1312" t="s">
        <v>71</v>
      </c>
      <c r="G252" s="1328">
        <f>G165</f>
        <v>3</v>
      </c>
      <c r="H252" s="1312" t="s">
        <v>72</v>
      </c>
      <c r="I252" s="1312">
        <f t="shared" ref="I252:I253" si="46">ROUND(((C252+E252)*G252),2)</f>
        <v>2.58</v>
      </c>
    </row>
    <row r="253" spans="1:11" s="329" customFormat="1" x14ac:dyDescent="0.2">
      <c r="A253" s="662"/>
      <c r="B253" s="1328" t="str">
        <f>B172</f>
        <v>P9</v>
      </c>
      <c r="C253" s="1328">
        <f>C172</f>
        <v>0.9</v>
      </c>
      <c r="D253" s="1312" t="s">
        <v>75</v>
      </c>
      <c r="E253" s="1312">
        <f t="shared" si="43"/>
        <v>0.06</v>
      </c>
      <c r="F253" s="1312" t="s">
        <v>71</v>
      </c>
      <c r="G253" s="1328">
        <f>G172</f>
        <v>2</v>
      </c>
      <c r="H253" s="1312" t="s">
        <v>72</v>
      </c>
      <c r="I253" s="1312">
        <f t="shared" si="46"/>
        <v>1.92</v>
      </c>
    </row>
    <row r="254" spans="1:11" s="329" customFormat="1" x14ac:dyDescent="0.2">
      <c r="A254" s="662"/>
      <c r="B254" s="1328" t="str">
        <f>B225</f>
        <v>PA1</v>
      </c>
      <c r="C254" s="1328">
        <f>C225</f>
        <v>1.5</v>
      </c>
      <c r="D254" s="1312" t="s">
        <v>75</v>
      </c>
      <c r="E254" s="1312">
        <f>E253</f>
        <v>0.06</v>
      </c>
      <c r="F254" s="1312" t="s">
        <v>71</v>
      </c>
      <c r="G254" s="1328">
        <f>G225</f>
        <v>1</v>
      </c>
      <c r="H254" s="1312" t="s">
        <v>72</v>
      </c>
      <c r="I254" s="1312">
        <f t="shared" ref="I254" si="47">ROUND(((C254+E254)*G254),2)</f>
        <v>1.56</v>
      </c>
    </row>
    <row r="255" spans="1:11" ht="13.5" thickBot="1" x14ac:dyDescent="0.25"/>
    <row r="256" spans="1:11" ht="13.5" thickBot="1" x14ac:dyDescent="0.25">
      <c r="B256" s="817" t="s">
        <v>511</v>
      </c>
      <c r="C256" s="818">
        <f>SUM(I246:I253)</f>
        <v>58.14</v>
      </c>
      <c r="D256" s="819" t="s">
        <v>17</v>
      </c>
    </row>
  </sheetData>
  <mergeCells count="56">
    <mergeCell ref="A178:A179"/>
    <mergeCell ref="B108:B109"/>
    <mergeCell ref="B111:B112"/>
    <mergeCell ref="B178:K179"/>
    <mergeCell ref="A150:A151"/>
    <mergeCell ref="B150:K151"/>
    <mergeCell ref="B161:K161"/>
    <mergeCell ref="B169:K169"/>
    <mergeCell ref="B113:B114"/>
    <mergeCell ref="B189:K189"/>
    <mergeCell ref="B195:B197"/>
    <mergeCell ref="B191:K191"/>
    <mergeCell ref="A237:A238"/>
    <mergeCell ref="B237:K238"/>
    <mergeCell ref="A231:A232"/>
    <mergeCell ref="B231:K232"/>
    <mergeCell ref="A202:A203"/>
    <mergeCell ref="B220:K220"/>
    <mergeCell ref="B202:K203"/>
    <mergeCell ref="A211:A212"/>
    <mergeCell ref="B211:K212"/>
    <mergeCell ref="A243:A244"/>
    <mergeCell ref="B243:K244"/>
    <mergeCell ref="A59:A60"/>
    <mergeCell ref="B67:K68"/>
    <mergeCell ref="A67:A68"/>
    <mergeCell ref="B62:C62"/>
    <mergeCell ref="B63:C63"/>
    <mergeCell ref="B103:K103"/>
    <mergeCell ref="B104:G104"/>
    <mergeCell ref="A93:A94"/>
    <mergeCell ref="B93:K94"/>
    <mergeCell ref="A124:A125"/>
    <mergeCell ref="B124:K125"/>
    <mergeCell ref="B140:K141"/>
    <mergeCell ref="A140:A141"/>
    <mergeCell ref="B106:B107"/>
    <mergeCell ref="A1:K1"/>
    <mergeCell ref="B2:F2"/>
    <mergeCell ref="G2:H2"/>
    <mergeCell ref="I2:K2"/>
    <mergeCell ref="B3:K3"/>
    <mergeCell ref="A6:A7"/>
    <mergeCell ref="B4:K4"/>
    <mergeCell ref="B5:D5"/>
    <mergeCell ref="E5:F6"/>
    <mergeCell ref="G5:K6"/>
    <mergeCell ref="B6:D7"/>
    <mergeCell ref="E7:F7"/>
    <mergeCell ref="G7:K7"/>
    <mergeCell ref="A9:K9"/>
    <mergeCell ref="A11:K11"/>
    <mergeCell ref="A10:K10"/>
    <mergeCell ref="B38:K38"/>
    <mergeCell ref="B59:K60"/>
    <mergeCell ref="B16:K16"/>
  </mergeCells>
  <phoneticPr fontId="32" type="noConversion"/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view="pageBreakPreview" zoomScale="55" zoomScaleNormal="100" zoomScaleSheetLayoutView="55" workbookViewId="0">
      <selection activeCell="G72" sqref="G72"/>
    </sheetView>
  </sheetViews>
  <sheetFormatPr defaultRowHeight="12.75" x14ac:dyDescent="0.2"/>
  <cols>
    <col min="1" max="1" width="14.85546875" style="38" customWidth="1"/>
    <col min="2" max="2" width="15.7109375" style="38" customWidth="1"/>
    <col min="3" max="3" width="16" style="38" customWidth="1"/>
    <col min="4" max="4" width="9" style="38" customWidth="1"/>
    <col min="5" max="7" width="9.140625" style="38"/>
    <col min="8" max="8" width="11.140625" style="38" customWidth="1"/>
    <col min="9" max="9" width="8.85546875" style="38" bestFit="1" customWidth="1"/>
    <col min="10" max="12" width="9.140625" style="38"/>
  </cols>
  <sheetData>
    <row r="1" spans="1:11" ht="7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1" x14ac:dyDescent="0.2">
      <c r="A2" s="1249" t="s">
        <v>126</v>
      </c>
      <c r="B2" s="1967" t="str">
        <f>SER.PREL.2!B2</f>
        <v>PREFEITURA MUNICIPAL DE PLACAS</v>
      </c>
      <c r="C2" s="1967"/>
      <c r="D2" s="1967"/>
      <c r="E2" s="1967"/>
      <c r="F2" s="1967"/>
      <c r="G2" s="1676" t="s">
        <v>136</v>
      </c>
      <c r="H2" s="1677"/>
      <c r="I2" s="1968" t="str">
        <f>SER.PREL.2!I2</f>
        <v>PLACAS / PA</v>
      </c>
      <c r="J2" s="1968"/>
      <c r="K2" s="1968"/>
    </row>
    <row r="3" spans="1:11" x14ac:dyDescent="0.2">
      <c r="A3" s="1249" t="s">
        <v>127</v>
      </c>
      <c r="B3" s="1969" t="str">
        <f>SER.PREL.2!B3</f>
        <v>CONSTRUÇÃO DO COMPLEXO ADMINISTRATIVO DO MUNICIPIO DE PLACAS</v>
      </c>
      <c r="C3" s="1969"/>
      <c r="D3" s="1969"/>
      <c r="E3" s="1969"/>
      <c r="F3" s="1969"/>
      <c r="G3" s="1969"/>
      <c r="H3" s="1969"/>
      <c r="I3" s="1969"/>
      <c r="J3" s="1969"/>
      <c r="K3" s="1969"/>
    </row>
    <row r="4" spans="1:11" x14ac:dyDescent="0.2">
      <c r="A4" s="1249" t="s">
        <v>228</v>
      </c>
      <c r="B4" s="1969" t="str">
        <f>SER.PREL.2!B4</f>
        <v>RUA OLAVO BILAC N° 408, BAIRRO CENTRO – PLACAS/PARÁ</v>
      </c>
      <c r="C4" s="1969"/>
      <c r="D4" s="1969"/>
      <c r="E4" s="1969"/>
      <c r="F4" s="1969"/>
      <c r="G4" s="1969"/>
      <c r="H4" s="1969"/>
      <c r="I4" s="1969"/>
      <c r="J4" s="1969"/>
      <c r="K4" s="1969"/>
    </row>
    <row r="5" spans="1:11" ht="18" customHeight="1" x14ac:dyDescent="0.2">
      <c r="A5" s="1250" t="s">
        <v>128</v>
      </c>
      <c r="B5" s="1881">
        <f>SER.PREL.2!B5</f>
        <v>0.28820000000000001</v>
      </c>
      <c r="C5" s="1881"/>
      <c r="D5" s="1881"/>
      <c r="E5" s="1970" t="s">
        <v>103</v>
      </c>
      <c r="F5" s="1971"/>
      <c r="G5" s="1974" t="str">
        <f>SER.PREL.2!G5</f>
        <v>SINAPI ABRIL/2022 - DESONERADA</v>
      </c>
      <c r="H5" s="1974"/>
      <c r="I5" s="1974"/>
      <c r="J5" s="1974"/>
      <c r="K5" s="1974"/>
    </row>
    <row r="6" spans="1:11" x14ac:dyDescent="0.2">
      <c r="A6" s="1975" t="s">
        <v>129</v>
      </c>
      <c r="B6" s="1969" t="str">
        <f>SER.PREL.2!B6</f>
        <v>MARUZA BAPTISTA</v>
      </c>
      <c r="C6" s="1969"/>
      <c r="D6" s="1969"/>
      <c r="E6" s="1972"/>
      <c r="F6" s="1973"/>
      <c r="G6" s="1974"/>
      <c r="H6" s="1974"/>
      <c r="I6" s="1974"/>
      <c r="J6" s="1974"/>
      <c r="K6" s="1974"/>
    </row>
    <row r="7" spans="1:11" ht="28.5" customHeight="1" x14ac:dyDescent="0.2">
      <c r="A7" s="1976"/>
      <c r="B7" s="1969"/>
      <c r="C7" s="1969"/>
      <c r="D7" s="1969"/>
      <c r="E7" s="1646" t="s">
        <v>130</v>
      </c>
      <c r="F7" s="1647"/>
      <c r="G7" s="1648" t="str">
        <f>SER.PREL.2!G7</f>
        <v>CAU - A : 28510-2</v>
      </c>
      <c r="H7" s="1648"/>
      <c r="I7" s="1648"/>
      <c r="J7" s="1648"/>
      <c r="K7" s="1648"/>
    </row>
    <row r="8" spans="1:11" ht="13.5" thickBot="1" x14ac:dyDescent="0.25">
      <c r="A8" s="494"/>
      <c r="B8" s="22"/>
      <c r="C8" s="22"/>
      <c r="D8" s="22"/>
      <c r="E8" s="22"/>
      <c r="F8" s="22"/>
      <c r="G8" s="22"/>
      <c r="H8" s="22"/>
      <c r="I8" s="22"/>
      <c r="J8" s="22"/>
    </row>
    <row r="9" spans="1:11" ht="13.5" thickBot="1" x14ac:dyDescent="0.25">
      <c r="A9" s="1865" t="s">
        <v>91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11" ht="13.5" thickBot="1" x14ac:dyDescent="0.25">
      <c r="A11" s="1865" t="str">
        <f>ORÇ!D123</f>
        <v>Pintura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11" x14ac:dyDescent="0.2">
      <c r="A12" s="946"/>
      <c r="B12" s="946"/>
      <c r="C12" s="946"/>
      <c r="D12" s="946"/>
      <c r="E12" s="946"/>
      <c r="F12" s="946"/>
      <c r="G12" s="946"/>
      <c r="H12" s="946"/>
      <c r="I12" s="946"/>
      <c r="J12" s="946"/>
      <c r="K12" s="946"/>
    </row>
    <row r="13" spans="1:11" x14ac:dyDescent="0.2">
      <c r="A13" s="1483">
        <f>ORÇ!A123</f>
        <v>10</v>
      </c>
      <c r="B13" s="1213" t="str">
        <f>ORÇ!D123</f>
        <v>Pintura</v>
      </c>
      <c r="C13" s="1219"/>
      <c r="D13" s="1233"/>
      <c r="E13" s="1233"/>
      <c r="F13" s="1233"/>
      <c r="G13" s="1233"/>
      <c r="H13" s="1233"/>
      <c r="I13" s="1233"/>
      <c r="J13" s="1233"/>
      <c r="K13" s="1233"/>
    </row>
    <row r="14" spans="1:11" x14ac:dyDescent="0.2">
      <c r="A14" s="1230"/>
      <c r="B14" s="1213"/>
      <c r="C14" s="1219"/>
      <c r="D14" s="1233"/>
      <c r="E14" s="1233"/>
      <c r="F14" s="1233"/>
      <c r="G14" s="1233"/>
      <c r="H14" s="1233"/>
      <c r="I14" s="1233"/>
      <c r="J14" s="1233"/>
      <c r="K14" s="1233"/>
    </row>
    <row r="15" spans="1:11" x14ac:dyDescent="0.2">
      <c r="A15" s="1230" t="str">
        <f>ORÇ!A124</f>
        <v>10.1</v>
      </c>
      <c r="B15" s="1887" t="str">
        <f>ORÇ!D124</f>
        <v>APLICAÇÃO DE FUNDO SELADOR ACRÍLICO EM PAREDES, UMA DEMÃO. AF_06/2014</v>
      </c>
      <c r="C15" s="1887"/>
      <c r="D15" s="1887"/>
      <c r="E15" s="1887"/>
      <c r="F15" s="1887"/>
      <c r="G15" s="1887"/>
      <c r="H15" s="1887"/>
      <c r="I15" s="1887"/>
      <c r="J15" s="1887"/>
      <c r="K15" s="1887"/>
    </row>
    <row r="16" spans="1:11" x14ac:dyDescent="0.2">
      <c r="A16" s="1230"/>
      <c r="B16" s="1212"/>
      <c r="C16" s="1212"/>
      <c r="D16" s="1212"/>
      <c r="E16" s="1212"/>
      <c r="F16" s="1212"/>
      <c r="G16" s="1212"/>
      <c r="H16" s="1212"/>
      <c r="I16" s="1212"/>
      <c r="J16" s="1212"/>
      <c r="K16" s="1212"/>
    </row>
    <row r="17" spans="1:12" s="124" customFormat="1" x14ac:dyDescent="0.2">
      <c r="A17" s="946"/>
      <c r="B17" s="1964" t="s">
        <v>534</v>
      </c>
      <c r="C17" s="1965"/>
      <c r="D17" s="1227"/>
      <c r="E17" s="1965" t="s">
        <v>314</v>
      </c>
      <c r="F17" s="1965"/>
      <c r="G17" s="1227"/>
      <c r="H17" s="1224" t="s">
        <v>306</v>
      </c>
      <c r="I17" s="1225"/>
      <c r="J17" s="432"/>
      <c r="K17" s="432"/>
      <c r="L17" s="206"/>
    </row>
    <row r="18" spans="1:12" s="124" customFormat="1" x14ac:dyDescent="0.2">
      <c r="A18" s="946"/>
      <c r="B18" s="1966">
        <f>'REV. DE PAR. 8'!G113</f>
        <v>1853.0400000000004</v>
      </c>
      <c r="C18" s="1962"/>
      <c r="D18" s="1226" t="s">
        <v>79</v>
      </c>
      <c r="E18" s="1962">
        <f>'REV. DE PAR. 8'!G156</f>
        <v>622.89999999999986</v>
      </c>
      <c r="F18" s="1962"/>
      <c r="G18" s="1226" t="s">
        <v>72</v>
      </c>
      <c r="H18" s="1226">
        <f>B18-E18</f>
        <v>1230.1400000000006</v>
      </c>
      <c r="I18" s="971" t="s">
        <v>6</v>
      </c>
      <c r="J18" s="432"/>
      <c r="K18" s="432"/>
      <c r="L18" s="206"/>
    </row>
    <row r="19" spans="1:12" s="124" customFormat="1" x14ac:dyDescent="0.2">
      <c r="A19" s="946"/>
      <c r="B19" s="1228"/>
      <c r="C19" s="1228"/>
      <c r="D19" s="1228"/>
      <c r="E19" s="1228"/>
      <c r="F19" s="1228"/>
      <c r="G19" s="1228"/>
      <c r="H19" s="1228"/>
      <c r="I19" s="1228"/>
      <c r="J19" s="432"/>
      <c r="K19" s="432"/>
      <c r="L19" s="206"/>
    </row>
    <row r="20" spans="1:12" s="124" customFormat="1" ht="25.5" x14ac:dyDescent="0.2">
      <c r="A20" s="946"/>
      <c r="B20" s="1214" t="s">
        <v>962</v>
      </c>
      <c r="C20" s="1215">
        <f>'PAR. 7'!G132*2</f>
        <v>1445.24</v>
      </c>
      <c r="D20" s="1165" t="s">
        <v>6</v>
      </c>
      <c r="E20" s="1228"/>
      <c r="F20" s="1228"/>
      <c r="G20" s="1228"/>
      <c r="H20" s="1228"/>
      <c r="I20" s="1228"/>
      <c r="J20" s="432"/>
      <c r="K20" s="432"/>
      <c r="L20" s="206"/>
    </row>
    <row r="21" spans="1:12" s="124" customFormat="1" x14ac:dyDescent="0.2">
      <c r="A21" s="946"/>
      <c r="B21" s="1228"/>
      <c r="C21" s="1228"/>
      <c r="D21" s="1228"/>
      <c r="E21" s="1228"/>
      <c r="F21" s="1228"/>
      <c r="G21" s="1228"/>
      <c r="H21" s="1228"/>
      <c r="I21" s="1228"/>
      <c r="J21" s="432"/>
      <c r="K21" s="432"/>
      <c r="L21" s="206"/>
    </row>
    <row r="22" spans="1:12" s="124" customFormat="1" x14ac:dyDescent="0.2">
      <c r="A22" s="946"/>
      <c r="B22" s="1228"/>
      <c r="C22" s="1228"/>
      <c r="D22" s="1228"/>
      <c r="E22" s="1228"/>
      <c r="F22" s="1228"/>
      <c r="G22" s="1228"/>
      <c r="H22" s="1228"/>
      <c r="I22" s="1228"/>
      <c r="J22" s="432"/>
      <c r="K22" s="432"/>
      <c r="L22" s="206"/>
    </row>
    <row r="23" spans="1:12" s="124" customFormat="1" ht="25.5" x14ac:dyDescent="0.2">
      <c r="A23" s="946"/>
      <c r="B23" s="928" t="s">
        <v>963</v>
      </c>
      <c r="C23" s="929">
        <f>C20+H18</f>
        <v>2675.3800000000006</v>
      </c>
      <c r="D23" s="930" t="s">
        <v>6</v>
      </c>
      <c r="E23" s="1228"/>
      <c r="F23" s="1228"/>
      <c r="G23" s="1228"/>
      <c r="H23" s="1228"/>
      <c r="I23" s="1228"/>
      <c r="J23" s="432"/>
      <c r="K23" s="432"/>
      <c r="L23" s="206"/>
    </row>
    <row r="24" spans="1:12" x14ac:dyDescent="0.2">
      <c r="A24" s="1230"/>
      <c r="B24" s="1212"/>
      <c r="C24" s="1212"/>
      <c r="D24" s="1212"/>
      <c r="E24" s="1212"/>
      <c r="F24" s="1212"/>
      <c r="G24" s="1212"/>
      <c r="H24" s="1212"/>
      <c r="I24" s="1212"/>
      <c r="J24" s="1212"/>
      <c r="K24" s="1212"/>
    </row>
    <row r="25" spans="1:12" ht="12.75" customHeight="1" x14ac:dyDescent="0.2">
      <c r="C25" s="1217"/>
      <c r="D25" s="1217"/>
      <c r="E25" s="1217"/>
      <c r="F25" s="1217"/>
      <c r="G25" s="1217"/>
      <c r="H25" s="1217"/>
      <c r="I25" s="1217"/>
      <c r="J25" s="1217"/>
      <c r="K25" s="1217"/>
    </row>
    <row r="26" spans="1:12" x14ac:dyDescent="0.2">
      <c r="A26" s="1230" t="str">
        <f>ORÇ!A125</f>
        <v>10.2</v>
      </c>
      <c r="B26" s="1887" t="str">
        <f>ORÇ!D125</f>
        <v>APLICAÇÃO E LIXAMENTO DE MASSA LÁTEX EM PAREDES, DUAS DEMÃOS. AF_06/2014</v>
      </c>
      <c r="C26" s="1887"/>
      <c r="D26" s="1887"/>
      <c r="E26" s="1887"/>
      <c r="F26" s="1887"/>
      <c r="G26" s="1887"/>
      <c r="H26" s="1887"/>
      <c r="I26" s="1887"/>
      <c r="J26" s="1887"/>
      <c r="K26" s="1887"/>
    </row>
    <row r="27" spans="1:12" x14ac:dyDescent="0.2">
      <c r="A27" s="1230"/>
      <c r="B27" s="1220"/>
      <c r="C27" s="1220"/>
      <c r="D27" s="1220"/>
      <c r="E27" s="1220"/>
      <c r="F27" s="1220"/>
      <c r="G27" s="1220"/>
      <c r="H27" s="1220"/>
      <c r="I27" s="1220"/>
      <c r="J27" s="1220"/>
      <c r="K27" s="1220"/>
    </row>
    <row r="28" spans="1:12" s="124" customFormat="1" ht="12.75" customHeight="1" x14ac:dyDescent="0.2">
      <c r="A28" s="946"/>
      <c r="B28" s="1964" t="s">
        <v>534</v>
      </c>
      <c r="C28" s="1965"/>
      <c r="D28" s="1227"/>
      <c r="E28" s="1965" t="s">
        <v>314</v>
      </c>
      <c r="F28" s="1965"/>
      <c r="G28" s="1227"/>
      <c r="H28" s="1224" t="s">
        <v>306</v>
      </c>
      <c r="I28" s="1225"/>
      <c r="J28" s="977"/>
      <c r="K28" s="977"/>
      <c r="L28" s="206"/>
    </row>
    <row r="29" spans="1:12" s="124" customFormat="1" x14ac:dyDescent="0.2">
      <c r="A29" s="946"/>
      <c r="B29" s="1966">
        <f>'REV. DE PAR. 8'!G113</f>
        <v>1853.0400000000004</v>
      </c>
      <c r="C29" s="1962"/>
      <c r="D29" s="1226" t="s">
        <v>79</v>
      </c>
      <c r="E29" s="1962">
        <f>E18</f>
        <v>622.89999999999986</v>
      </c>
      <c r="F29" s="1962"/>
      <c r="G29" s="1226" t="s">
        <v>72</v>
      </c>
      <c r="H29" s="1226">
        <f>B29-E29</f>
        <v>1230.1400000000006</v>
      </c>
      <c r="I29" s="971" t="s">
        <v>6</v>
      </c>
      <c r="J29" s="977"/>
      <c r="K29" s="977"/>
      <c r="L29" s="206"/>
    </row>
    <row r="30" spans="1:12" s="124" customFormat="1" x14ac:dyDescent="0.2">
      <c r="A30" s="946"/>
      <c r="B30" s="432"/>
      <c r="C30" s="432"/>
      <c r="D30" s="432"/>
      <c r="E30" s="432"/>
      <c r="F30" s="432"/>
      <c r="G30" s="432"/>
      <c r="H30" s="432"/>
      <c r="I30" s="432"/>
      <c r="J30" s="432"/>
      <c r="K30" s="432"/>
      <c r="L30" s="206"/>
    </row>
    <row r="31" spans="1:12" s="124" customFormat="1" ht="25.5" x14ac:dyDescent="0.2">
      <c r="A31" s="946"/>
      <c r="B31" s="1214" t="s">
        <v>962</v>
      </c>
      <c r="C31" s="1215">
        <f>C20</f>
        <v>1445.24</v>
      </c>
      <c r="D31" s="1165" t="s">
        <v>6</v>
      </c>
      <c r="E31" s="1228"/>
      <c r="F31" s="1228"/>
      <c r="G31" s="1228"/>
      <c r="H31" s="1228"/>
      <c r="I31" s="1228"/>
      <c r="J31" s="432"/>
      <c r="K31" s="432"/>
      <c r="L31" s="206"/>
    </row>
    <row r="32" spans="1:12" s="124" customFormat="1" x14ac:dyDescent="0.2">
      <c r="A32" s="946"/>
      <c r="B32" s="1228"/>
      <c r="C32" s="1228"/>
      <c r="D32" s="1228"/>
      <c r="E32" s="1228"/>
      <c r="F32" s="1228"/>
      <c r="G32" s="1228"/>
      <c r="H32" s="1228"/>
      <c r="I32" s="1228"/>
      <c r="J32" s="432"/>
      <c r="K32" s="432"/>
      <c r="L32" s="206"/>
    </row>
    <row r="33" spans="1:12" s="124" customFormat="1" x14ac:dyDescent="0.2">
      <c r="A33" s="946"/>
      <c r="B33" s="928" t="s">
        <v>964</v>
      </c>
      <c r="C33" s="929">
        <f>C31+H29</f>
        <v>2675.3800000000006</v>
      </c>
      <c r="D33" s="930" t="s">
        <v>6</v>
      </c>
      <c r="E33" s="1228"/>
      <c r="F33" s="1228"/>
      <c r="G33" s="1228"/>
      <c r="H33" s="1228"/>
      <c r="I33" s="1228"/>
      <c r="J33" s="432"/>
      <c r="K33" s="432"/>
      <c r="L33" s="206"/>
    </row>
    <row r="34" spans="1:12" x14ac:dyDescent="0.2">
      <c r="A34" s="1230"/>
      <c r="B34" s="433"/>
      <c r="C34" s="433"/>
      <c r="D34" s="163"/>
      <c r="E34" s="1218"/>
      <c r="F34" s="1233"/>
      <c r="G34" s="52"/>
      <c r="H34" s="52"/>
      <c r="I34" s="52"/>
      <c r="J34" s="22"/>
      <c r="K34" s="52"/>
    </row>
    <row r="35" spans="1:12" x14ac:dyDescent="0.2">
      <c r="A35" s="1230" t="str">
        <f>ORÇ!A126</f>
        <v>10.3</v>
      </c>
      <c r="B35" s="1887" t="str">
        <f>ORÇ!D126</f>
        <v>APLICAÇÃO MANUAL DE PINTURA COM TINTA LÁTEX ACRÍLICA EM PAREDES, DUAS DEMÃOS. AF_06/2014</v>
      </c>
      <c r="C35" s="1887"/>
      <c r="D35" s="1887"/>
      <c r="E35" s="1887"/>
      <c r="F35" s="1887"/>
      <c r="G35" s="1887"/>
      <c r="H35" s="1887"/>
      <c r="I35" s="1887"/>
      <c r="J35" s="1887"/>
      <c r="K35" s="1887"/>
    </row>
    <row r="36" spans="1:12" ht="13.5" customHeight="1" x14ac:dyDescent="0.2"/>
    <row r="37" spans="1:12" s="124" customFormat="1" x14ac:dyDescent="0.2">
      <c r="A37" s="946"/>
      <c r="B37" s="1964" t="s">
        <v>534</v>
      </c>
      <c r="C37" s="1965"/>
      <c r="D37" s="1227"/>
      <c r="E37" s="1965" t="s">
        <v>314</v>
      </c>
      <c r="F37" s="1965"/>
      <c r="G37" s="1227"/>
      <c r="H37" s="1224" t="s">
        <v>306</v>
      </c>
      <c r="I37" s="1225"/>
      <c r="J37" s="977"/>
      <c r="K37" s="977"/>
      <c r="L37" s="206"/>
    </row>
    <row r="38" spans="1:12" s="124" customFormat="1" x14ac:dyDescent="0.2">
      <c r="A38" s="946"/>
      <c r="B38" s="1966">
        <f>B29</f>
        <v>1853.0400000000004</v>
      </c>
      <c r="C38" s="1962"/>
      <c r="D38" s="1226" t="s">
        <v>79</v>
      </c>
      <c r="E38" s="1962">
        <f>E29</f>
        <v>622.89999999999986</v>
      </c>
      <c r="F38" s="1962"/>
      <c r="G38" s="1226" t="s">
        <v>72</v>
      </c>
      <c r="H38" s="1226">
        <f>B38-E38</f>
        <v>1230.1400000000006</v>
      </c>
      <c r="I38" s="971" t="s">
        <v>6</v>
      </c>
      <c r="J38" s="977"/>
      <c r="K38" s="977"/>
      <c r="L38" s="206"/>
    </row>
    <row r="39" spans="1:12" x14ac:dyDescent="0.2">
      <c r="A39" s="1230"/>
      <c r="B39" s="967"/>
      <c r="C39" s="967"/>
      <c r="D39" s="1230"/>
      <c r="E39" s="1233"/>
      <c r="F39" s="1233"/>
      <c r="G39" s="967"/>
      <c r="H39" s="967"/>
      <c r="I39" s="967"/>
      <c r="J39" s="1230"/>
      <c r="K39" s="967"/>
    </row>
    <row r="40" spans="1:12" s="124" customFormat="1" ht="25.5" x14ac:dyDescent="0.2">
      <c r="A40" s="946"/>
      <c r="B40" s="1214" t="s">
        <v>962</v>
      </c>
      <c r="C40" s="1215">
        <f>C31</f>
        <v>1445.24</v>
      </c>
      <c r="D40" s="1165" t="s">
        <v>6</v>
      </c>
      <c r="E40" s="1228"/>
      <c r="F40" s="1228"/>
      <c r="G40" s="1228"/>
      <c r="H40" s="1228"/>
      <c r="I40" s="1228"/>
      <c r="J40" s="432"/>
      <c r="K40" s="432"/>
      <c r="L40" s="206"/>
    </row>
    <row r="41" spans="1:12" s="124" customFormat="1" x14ac:dyDescent="0.2">
      <c r="A41" s="946"/>
      <c r="B41" s="1228"/>
      <c r="C41" s="1228"/>
      <c r="D41" s="1228"/>
      <c r="E41" s="1228"/>
      <c r="F41" s="1228"/>
      <c r="G41" s="1228"/>
      <c r="H41" s="1228"/>
      <c r="I41" s="1228"/>
      <c r="J41" s="432"/>
      <c r="K41" s="432"/>
      <c r="L41" s="206"/>
    </row>
    <row r="42" spans="1:12" s="124" customFormat="1" ht="25.5" x14ac:dyDescent="0.2">
      <c r="A42" s="946"/>
      <c r="B42" s="928" t="s">
        <v>965</v>
      </c>
      <c r="C42" s="929">
        <f>C40+H38</f>
        <v>2675.3800000000006</v>
      </c>
      <c r="D42" s="930" t="s">
        <v>6</v>
      </c>
      <c r="E42" s="1228"/>
      <c r="F42" s="1228"/>
      <c r="G42" s="1228"/>
      <c r="H42" s="1228"/>
      <c r="I42" s="1228"/>
      <c r="J42" s="432"/>
      <c r="K42" s="432"/>
      <c r="L42" s="206"/>
    </row>
    <row r="44" spans="1:12" x14ac:dyDescent="0.2">
      <c r="A44" s="1230"/>
      <c r="B44" s="1887" t="str">
        <f>ORÇ!D127</f>
        <v>Pintura do Forro</v>
      </c>
      <c r="C44" s="1887"/>
      <c r="D44" s="1887"/>
      <c r="E44" s="1887"/>
      <c r="F44" s="1887"/>
      <c r="G44" s="1887"/>
      <c r="H44" s="1887"/>
      <c r="I44" s="1887"/>
      <c r="J44" s="1887"/>
      <c r="K44" s="1887"/>
    </row>
    <row r="45" spans="1:12" x14ac:dyDescent="0.2">
      <c r="A45" s="1512" t="str">
        <f>ORÇ!A128</f>
        <v>10.4</v>
      </c>
      <c r="B45" s="1887" t="str">
        <f>ORÇ!D128</f>
        <v>APLICAÇÃO DE FUNDO SELADOR ACRÍLICO EM TETO, UMA DEMÃO. AF_06/2014</v>
      </c>
      <c r="C45" s="1887"/>
      <c r="D45" s="1887"/>
      <c r="E45" s="1887"/>
      <c r="F45" s="1887"/>
      <c r="G45" s="1887"/>
      <c r="H45" s="1887"/>
      <c r="I45" s="1887"/>
      <c r="J45" s="1887"/>
      <c r="K45" s="1887"/>
    </row>
    <row r="46" spans="1:12" x14ac:dyDescent="0.2">
      <c r="A46" s="1230" t="str">
        <f>ORÇ!A129</f>
        <v>10.5</v>
      </c>
      <c r="B46" s="1887" t="str">
        <f>ORÇ!D129</f>
        <v>PVA interna c/ massa sem selador</v>
      </c>
      <c r="C46" s="1887"/>
      <c r="D46" s="1887"/>
      <c r="E46" s="1887"/>
      <c r="F46" s="1887"/>
      <c r="G46" s="1887"/>
      <c r="H46" s="1887"/>
      <c r="I46" s="1887"/>
      <c r="J46" s="1887"/>
      <c r="K46" s="1887"/>
    </row>
    <row r="47" spans="1:12" x14ac:dyDescent="0.2">
      <c r="A47" s="1230"/>
      <c r="B47" s="1220"/>
      <c r="C47" s="1220"/>
      <c r="D47" s="1220"/>
      <c r="E47" s="1220"/>
      <c r="F47" s="1220"/>
      <c r="G47" s="1220"/>
      <c r="H47" s="1220"/>
      <c r="I47" s="1220"/>
      <c r="J47" s="1220"/>
      <c r="K47" s="1220"/>
    </row>
    <row r="48" spans="1:12" x14ac:dyDescent="0.2">
      <c r="A48" s="1303"/>
      <c r="B48" s="1896" t="s">
        <v>1359</v>
      </c>
      <c r="C48" s="1897"/>
      <c r="D48" s="1898"/>
      <c r="E48" s="1302" t="s">
        <v>335</v>
      </c>
      <c r="F48" s="1295"/>
      <c r="H48" s="1896" t="s">
        <v>1359</v>
      </c>
      <c r="I48" s="1897"/>
      <c r="J48" s="1898"/>
      <c r="K48" s="1302" t="s">
        <v>335</v>
      </c>
    </row>
    <row r="49" spans="1:11" x14ac:dyDescent="0.2">
      <c r="A49" s="1303"/>
      <c r="B49" s="1899" t="s">
        <v>1342</v>
      </c>
      <c r="C49" s="1900"/>
      <c r="D49" s="1901"/>
      <c r="E49" s="1297">
        <v>110</v>
      </c>
      <c r="F49" s="1295"/>
      <c r="H49" s="1899" t="s">
        <v>347</v>
      </c>
      <c r="I49" s="1900"/>
      <c r="J49" s="1901"/>
      <c r="K49" s="1206">
        <v>8.25</v>
      </c>
    </row>
    <row r="50" spans="1:11" x14ac:dyDescent="0.2">
      <c r="A50" s="1303"/>
      <c r="B50" s="1899" t="s">
        <v>1348</v>
      </c>
      <c r="C50" s="1900"/>
      <c r="D50" s="1901"/>
      <c r="E50" s="1206">
        <v>12.78</v>
      </c>
      <c r="F50" s="1295"/>
      <c r="H50" s="1899" t="s">
        <v>1361</v>
      </c>
      <c r="I50" s="1900"/>
      <c r="J50" s="1901"/>
      <c r="K50" s="1206">
        <v>46.33</v>
      </c>
    </row>
    <row r="51" spans="1:11" x14ac:dyDescent="0.2">
      <c r="A51" s="1303"/>
      <c r="B51" s="1899" t="s">
        <v>502</v>
      </c>
      <c r="C51" s="1900"/>
      <c r="D51" s="1901"/>
      <c r="E51" s="1206">
        <v>38.5</v>
      </c>
      <c r="F51" s="1295"/>
      <c r="H51" s="1899" t="s">
        <v>1360</v>
      </c>
      <c r="I51" s="1900"/>
      <c r="J51" s="1901"/>
      <c r="K51" s="1206">
        <v>23.65</v>
      </c>
    </row>
    <row r="52" spans="1:11" x14ac:dyDescent="0.2">
      <c r="A52" s="1303"/>
      <c r="B52" s="1899" t="s">
        <v>302</v>
      </c>
      <c r="C52" s="1900"/>
      <c r="D52" s="1901"/>
      <c r="E52" s="1206">
        <v>12.75</v>
      </c>
      <c r="F52" s="1295"/>
      <c r="H52" s="1899" t="s">
        <v>961</v>
      </c>
      <c r="I52" s="1900"/>
      <c r="J52" s="1901"/>
      <c r="K52" s="1206">
        <v>4</v>
      </c>
    </row>
    <row r="53" spans="1:11" x14ac:dyDescent="0.2">
      <c r="A53" s="1303"/>
      <c r="B53" s="1899" t="s">
        <v>1349</v>
      </c>
      <c r="C53" s="1900"/>
      <c r="D53" s="1901"/>
      <c r="E53" s="1206">
        <f>7.05+9.2+48.08</f>
        <v>64.33</v>
      </c>
      <c r="F53" s="1295"/>
      <c r="H53" s="1899" t="s">
        <v>324</v>
      </c>
      <c r="I53" s="1900"/>
      <c r="J53" s="1901"/>
      <c r="K53" s="1206">
        <v>23.72</v>
      </c>
    </row>
    <row r="54" spans="1:11" x14ac:dyDescent="0.2">
      <c r="A54" s="1303"/>
      <c r="B54" s="1899" t="s">
        <v>582</v>
      </c>
      <c r="C54" s="1900"/>
      <c r="D54" s="1901"/>
      <c r="E54" s="1206">
        <v>30.9</v>
      </c>
      <c r="F54" s="1295"/>
      <c r="H54" s="1899" t="s">
        <v>320</v>
      </c>
      <c r="I54" s="1900"/>
      <c r="J54" s="1901"/>
      <c r="K54" s="1206">
        <v>18.97</v>
      </c>
    </row>
    <row r="55" spans="1:11" x14ac:dyDescent="0.2">
      <c r="A55" s="1303"/>
      <c r="B55" s="1899" t="s">
        <v>1344</v>
      </c>
      <c r="C55" s="1900"/>
      <c r="D55" s="1901"/>
      <c r="E55" s="1206">
        <v>13.98</v>
      </c>
      <c r="F55" s="1295"/>
      <c r="H55" s="1899" t="s">
        <v>1362</v>
      </c>
      <c r="I55" s="1900"/>
      <c r="J55" s="1901"/>
      <c r="K55" s="1206">
        <v>21.3</v>
      </c>
    </row>
    <row r="56" spans="1:11" x14ac:dyDescent="0.2">
      <c r="A56" s="1303"/>
      <c r="B56" s="1899" t="s">
        <v>1343</v>
      </c>
      <c r="C56" s="1900"/>
      <c r="D56" s="1901"/>
      <c r="E56" s="1206">
        <v>13.45</v>
      </c>
      <c r="F56" s="1295"/>
      <c r="H56" s="1899" t="s">
        <v>301</v>
      </c>
      <c r="I56" s="1900"/>
      <c r="J56" s="1901"/>
      <c r="K56" s="1206">
        <v>51.44</v>
      </c>
    </row>
    <row r="57" spans="1:11" x14ac:dyDescent="0.2">
      <c r="A57" s="1303"/>
      <c r="B57" s="1899" t="s">
        <v>1345</v>
      </c>
      <c r="C57" s="1900"/>
      <c r="D57" s="1901"/>
      <c r="E57" s="1206">
        <v>33.369999999999997</v>
      </c>
      <c r="F57" s="1295"/>
      <c r="H57" s="1899" t="s">
        <v>296</v>
      </c>
      <c r="I57" s="1900"/>
      <c r="J57" s="1901"/>
      <c r="K57" s="1206">
        <v>26.25</v>
      </c>
    </row>
    <row r="58" spans="1:11" x14ac:dyDescent="0.2">
      <c r="A58" s="1303"/>
      <c r="B58" s="1899" t="s">
        <v>1346</v>
      </c>
      <c r="C58" s="1900"/>
      <c r="D58" s="1901"/>
      <c r="E58" s="1206">
        <v>10.5</v>
      </c>
      <c r="F58" s="1295"/>
      <c r="H58" s="1899" t="s">
        <v>293</v>
      </c>
      <c r="I58" s="1900"/>
      <c r="J58" s="1901"/>
      <c r="K58" s="1206">
        <v>11.73</v>
      </c>
    </row>
    <row r="59" spans="1:11" x14ac:dyDescent="0.2">
      <c r="A59" s="1303"/>
      <c r="B59" s="1899" t="s">
        <v>1347</v>
      </c>
      <c r="C59" s="1900"/>
      <c r="D59" s="1901"/>
      <c r="E59" s="1206">
        <v>17.23</v>
      </c>
      <c r="F59" s="1295"/>
      <c r="H59" s="1899" t="s">
        <v>292</v>
      </c>
      <c r="I59" s="1900"/>
      <c r="J59" s="1901"/>
      <c r="K59" s="1206">
        <v>4.4000000000000004</v>
      </c>
    </row>
    <row r="60" spans="1:11" x14ac:dyDescent="0.2">
      <c r="A60" s="1303"/>
      <c r="B60" s="1899" t="s">
        <v>509</v>
      </c>
      <c r="C60" s="1900"/>
      <c r="D60" s="1901"/>
      <c r="E60" s="1206">
        <v>25.7</v>
      </c>
      <c r="F60" s="1295"/>
      <c r="H60" s="1899" t="s">
        <v>1185</v>
      </c>
      <c r="I60" s="1900"/>
      <c r="J60" s="1901"/>
      <c r="K60" s="1206">
        <v>4.55</v>
      </c>
    </row>
    <row r="61" spans="1:11" x14ac:dyDescent="0.2">
      <c r="A61" s="1303"/>
      <c r="B61" s="1899" t="s">
        <v>508</v>
      </c>
      <c r="C61" s="1900"/>
      <c r="D61" s="1901"/>
      <c r="E61" s="1206">
        <v>33</v>
      </c>
      <c r="F61" s="1295"/>
      <c r="H61" s="1899" t="s">
        <v>347</v>
      </c>
      <c r="I61" s="1900"/>
      <c r="J61" s="1901"/>
      <c r="K61" s="1206">
        <v>5.6</v>
      </c>
    </row>
    <row r="62" spans="1:11" x14ac:dyDescent="0.2">
      <c r="A62" s="1303"/>
      <c r="B62" s="1899" t="s">
        <v>321</v>
      </c>
      <c r="C62" s="1900"/>
      <c r="D62" s="1901"/>
      <c r="E62" s="1206">
        <v>33.65</v>
      </c>
      <c r="F62" s="1295"/>
      <c r="H62" s="1899" t="s">
        <v>1184</v>
      </c>
      <c r="I62" s="1900"/>
      <c r="J62" s="1901"/>
      <c r="K62" s="1206">
        <v>6.37</v>
      </c>
    </row>
    <row r="63" spans="1:11" x14ac:dyDescent="0.2">
      <c r="A63" s="1303"/>
      <c r="B63" s="1899" t="s">
        <v>491</v>
      </c>
      <c r="C63" s="1900"/>
      <c r="D63" s="1901"/>
      <c r="E63" s="1206">
        <v>21.64</v>
      </c>
      <c r="F63" s="1295"/>
      <c r="H63" s="1899" t="s">
        <v>297</v>
      </c>
      <c r="I63" s="1900"/>
      <c r="J63" s="1901"/>
      <c r="K63" s="1206">
        <v>55.93</v>
      </c>
    </row>
    <row r="64" spans="1:11" x14ac:dyDescent="0.2">
      <c r="A64" s="1303"/>
      <c r="B64" s="1899" t="s">
        <v>1350</v>
      </c>
      <c r="C64" s="1900"/>
      <c r="D64" s="1901"/>
      <c r="E64" s="1206">
        <v>23.69</v>
      </c>
      <c r="F64" s="1295"/>
      <c r="H64" s="1899" t="s">
        <v>344</v>
      </c>
      <c r="I64" s="1900"/>
      <c r="J64" s="1901"/>
      <c r="K64" s="1206">
        <v>36.200000000000003</v>
      </c>
    </row>
    <row r="65" spans="1:11" x14ac:dyDescent="0.2">
      <c r="A65" s="1303"/>
      <c r="B65" s="1899" t="s">
        <v>1351</v>
      </c>
      <c r="C65" s="1900"/>
      <c r="D65" s="1901"/>
      <c r="E65" s="1206">
        <v>18.03</v>
      </c>
      <c r="F65" s="1295"/>
      <c r="H65" s="1899" t="s">
        <v>1363</v>
      </c>
      <c r="I65" s="1900"/>
      <c r="J65" s="1901"/>
      <c r="K65" s="1206">
        <v>38.770000000000003</v>
      </c>
    </row>
    <row r="66" spans="1:11" x14ac:dyDescent="0.2">
      <c r="A66" s="1303"/>
      <c r="B66" s="1899" t="s">
        <v>1352</v>
      </c>
      <c r="C66" s="1900"/>
      <c r="D66" s="1901"/>
      <c r="E66" s="1206">
        <v>10.97</v>
      </c>
      <c r="F66" s="1295"/>
      <c r="H66" s="1899" t="s">
        <v>294</v>
      </c>
      <c r="I66" s="1900"/>
      <c r="J66" s="1901"/>
      <c r="K66" s="1206">
        <v>14.43</v>
      </c>
    </row>
    <row r="67" spans="1:11" x14ac:dyDescent="0.2">
      <c r="A67" s="1303"/>
      <c r="B67" s="1899" t="s">
        <v>1353</v>
      </c>
      <c r="C67" s="1900"/>
      <c r="D67" s="1901"/>
      <c r="E67" s="1206">
        <f>11.69+30.9</f>
        <v>42.589999999999996</v>
      </c>
      <c r="F67" s="1295"/>
      <c r="H67" s="1899" t="s">
        <v>295</v>
      </c>
      <c r="I67" s="1900"/>
      <c r="J67" s="1901"/>
      <c r="K67" s="1206">
        <v>15.45</v>
      </c>
    </row>
    <row r="68" spans="1:11" x14ac:dyDescent="0.2">
      <c r="A68" s="1303"/>
      <c r="B68" s="1899" t="s">
        <v>298</v>
      </c>
      <c r="C68" s="1900"/>
      <c r="D68" s="1901"/>
      <c r="E68" s="1206">
        <v>56.46</v>
      </c>
      <c r="F68" s="1295"/>
      <c r="H68" s="1899" t="s">
        <v>1364</v>
      </c>
      <c r="I68" s="1900"/>
      <c r="J68" s="1901"/>
      <c r="K68" s="1206">
        <v>33.64</v>
      </c>
    </row>
    <row r="69" spans="1:11" x14ac:dyDescent="0.2">
      <c r="A69" s="1303"/>
      <c r="B69" s="1899" t="s">
        <v>1354</v>
      </c>
      <c r="C69" s="1900"/>
      <c r="D69" s="1901"/>
      <c r="E69" s="1206">
        <v>9</v>
      </c>
      <c r="F69" s="1295"/>
      <c r="H69" s="1899" t="s">
        <v>1365</v>
      </c>
      <c r="I69" s="1900"/>
      <c r="J69" s="1901"/>
      <c r="K69" s="1206">
        <v>19.09</v>
      </c>
    </row>
    <row r="70" spans="1:11" x14ac:dyDescent="0.2">
      <c r="A70" s="1303"/>
      <c r="B70" s="1899" t="s">
        <v>1355</v>
      </c>
      <c r="C70" s="1900"/>
      <c r="D70" s="1901"/>
      <c r="E70" s="1206">
        <v>9</v>
      </c>
      <c r="F70" s="1295"/>
      <c r="H70" s="1899" t="s">
        <v>322</v>
      </c>
      <c r="I70" s="1900"/>
      <c r="J70" s="1901"/>
      <c r="K70" s="1206">
        <v>20.78</v>
      </c>
    </row>
    <row r="71" spans="1:11" x14ac:dyDescent="0.2">
      <c r="A71" s="1303"/>
      <c r="B71" s="1899" t="s">
        <v>299</v>
      </c>
      <c r="C71" s="1900"/>
      <c r="D71" s="1901"/>
      <c r="E71" s="1206">
        <v>16.7</v>
      </c>
      <c r="F71" s="1295"/>
      <c r="H71" s="1899" t="s">
        <v>1366</v>
      </c>
      <c r="I71" s="1900"/>
      <c r="J71" s="1901"/>
      <c r="K71" s="1206">
        <v>20.149999999999999</v>
      </c>
    </row>
    <row r="72" spans="1:11" x14ac:dyDescent="0.2">
      <c r="A72" s="1303"/>
      <c r="B72" s="1899" t="s">
        <v>1356</v>
      </c>
      <c r="C72" s="1900"/>
      <c r="D72" s="1901"/>
      <c r="E72" s="1206">
        <v>20.55</v>
      </c>
      <c r="F72" s="1295"/>
      <c r="H72" s="1899" t="s">
        <v>323</v>
      </c>
      <c r="I72" s="1900"/>
      <c r="J72" s="1901"/>
      <c r="K72" s="1206">
        <v>20.149999999999999</v>
      </c>
    </row>
    <row r="73" spans="1:11" x14ac:dyDescent="0.2">
      <c r="A73" s="1303"/>
      <c r="B73" s="1899" t="s">
        <v>1357</v>
      </c>
      <c r="C73" s="1900"/>
      <c r="D73" s="1901"/>
      <c r="E73" s="1206">
        <v>9.25</v>
      </c>
      <c r="F73" s="1295"/>
      <c r="H73" s="1899" t="s">
        <v>490</v>
      </c>
      <c r="I73" s="1900"/>
      <c r="J73" s="1901"/>
      <c r="K73" s="1206">
        <v>20.71</v>
      </c>
    </row>
    <row r="74" spans="1:11" x14ac:dyDescent="0.2">
      <c r="A74" s="1303"/>
      <c r="B74" s="1899" t="s">
        <v>300</v>
      </c>
      <c r="C74" s="1900"/>
      <c r="D74" s="1901"/>
      <c r="E74" s="1206">
        <v>32.549999999999997</v>
      </c>
      <c r="F74" s="1295"/>
      <c r="H74" s="1899" t="s">
        <v>1367</v>
      </c>
      <c r="I74" s="1900"/>
      <c r="J74" s="1901"/>
      <c r="K74" s="1206">
        <v>110</v>
      </c>
    </row>
    <row r="75" spans="1:11" x14ac:dyDescent="0.2">
      <c r="A75" s="1303"/>
      <c r="B75" s="1899" t="s">
        <v>346</v>
      </c>
      <c r="C75" s="1900"/>
      <c r="D75" s="1901"/>
      <c r="E75" s="1206">
        <v>21.48</v>
      </c>
      <c r="F75" s="1295"/>
      <c r="H75" s="1899"/>
      <c r="I75" s="1900"/>
      <c r="J75" s="1901"/>
      <c r="K75" s="1206"/>
    </row>
    <row r="76" spans="1:11" x14ac:dyDescent="0.2">
      <c r="A76" s="1303"/>
      <c r="B76" s="1899" t="s">
        <v>446</v>
      </c>
      <c r="C76" s="1900"/>
      <c r="D76" s="1901"/>
      <c r="E76" s="1206">
        <v>27.48</v>
      </c>
      <c r="F76" s="1295"/>
      <c r="H76" s="1899"/>
      <c r="I76" s="1900"/>
      <c r="J76" s="1901"/>
      <c r="K76" s="1206"/>
    </row>
    <row r="77" spans="1:11" x14ac:dyDescent="0.2">
      <c r="A77" s="1303"/>
      <c r="B77" s="1899" t="s">
        <v>960</v>
      </c>
      <c r="C77" s="1900"/>
      <c r="D77" s="1901"/>
      <c r="E77" s="1206">
        <v>4</v>
      </c>
      <c r="F77" s="1295"/>
      <c r="H77" s="1899"/>
      <c r="I77" s="1900"/>
      <c r="J77" s="1901"/>
      <c r="K77" s="1206"/>
    </row>
    <row r="78" spans="1:11" x14ac:dyDescent="0.2">
      <c r="A78" s="1303"/>
      <c r="B78" s="1899" t="s">
        <v>1358</v>
      </c>
      <c r="C78" s="1900"/>
      <c r="D78" s="1901"/>
      <c r="E78" s="1206">
        <v>27.49</v>
      </c>
      <c r="F78" s="1295"/>
      <c r="H78" s="1899"/>
      <c r="I78" s="1900"/>
      <c r="J78" s="1901"/>
      <c r="K78" s="1206"/>
    </row>
    <row r="79" spans="1:11" x14ac:dyDescent="0.2">
      <c r="A79" s="1303"/>
      <c r="B79" s="1893" t="s">
        <v>60</v>
      </c>
      <c r="C79" s="1894"/>
      <c r="D79" s="1895"/>
      <c r="E79" s="1332">
        <f>SUM(E49:E78)</f>
        <v>801.0200000000001</v>
      </c>
      <c r="F79" s="1295"/>
      <c r="G79" s="1171"/>
      <c r="H79" s="1893" t="s">
        <v>60</v>
      </c>
      <c r="I79" s="1894"/>
      <c r="J79" s="1895"/>
      <c r="K79" s="1332">
        <f>SUM(K49:K78)</f>
        <v>661.8599999999999</v>
      </c>
    </row>
    <row r="80" spans="1:11" x14ac:dyDescent="0.2">
      <c r="A80" s="1303"/>
      <c r="B80" s="1296"/>
      <c r="C80" s="1296"/>
      <c r="D80" s="1296"/>
      <c r="E80" s="1296"/>
      <c r="F80" s="1296"/>
      <c r="G80" s="1296"/>
      <c r="H80" s="1296"/>
      <c r="I80" s="1296"/>
      <c r="J80" s="1296"/>
      <c r="K80" s="1296"/>
    </row>
    <row r="81" spans="1:11" s="38" customFormat="1" ht="13.5" thickBot="1" x14ac:dyDescent="0.25">
      <c r="A81" s="1219"/>
      <c r="B81" s="1219"/>
      <c r="C81" s="1219"/>
      <c r="D81" s="1219"/>
      <c r="E81" s="1219"/>
      <c r="F81" s="1219"/>
    </row>
    <row r="82" spans="1:11" x14ac:dyDescent="0.2">
      <c r="B82" s="463"/>
      <c r="C82" s="1231"/>
      <c r="D82" s="1251" t="s">
        <v>263</v>
      </c>
    </row>
    <row r="83" spans="1:11" ht="13.5" thickBot="1" x14ac:dyDescent="0.25">
      <c r="B83" s="481" t="s">
        <v>336</v>
      </c>
      <c r="C83" s="466" t="s">
        <v>72</v>
      </c>
      <c r="D83" s="485">
        <f>E79+K79</f>
        <v>1462.88</v>
      </c>
    </row>
    <row r="84" spans="1:11" x14ac:dyDescent="0.2">
      <c r="A84" s="1230"/>
      <c r="B84" s="1220"/>
      <c r="C84" s="1220"/>
      <c r="D84" s="1220"/>
      <c r="E84" s="1220"/>
      <c r="F84" s="1220"/>
      <c r="G84" s="1220"/>
      <c r="H84" s="1220"/>
      <c r="I84" s="1220"/>
      <c r="J84" s="1220"/>
      <c r="K84" s="1220"/>
    </row>
  </sheetData>
  <mergeCells count="98">
    <mergeCell ref="B45:K45"/>
    <mergeCell ref="B74:D74"/>
    <mergeCell ref="H74:J74"/>
    <mergeCell ref="B69:D69"/>
    <mergeCell ref="H69:J69"/>
    <mergeCell ref="B70:D70"/>
    <mergeCell ref="H70:J70"/>
    <mergeCell ref="B68:D68"/>
    <mergeCell ref="H68:J68"/>
    <mergeCell ref="H67:J67"/>
    <mergeCell ref="B59:D59"/>
    <mergeCell ref="H59:J59"/>
    <mergeCell ref="B66:D66"/>
    <mergeCell ref="H66:J66"/>
    <mergeCell ref="B67:D67"/>
    <mergeCell ref="B62:D62"/>
    <mergeCell ref="H62:J62"/>
    <mergeCell ref="B63:D63"/>
    <mergeCell ref="H63:J63"/>
    <mergeCell ref="B64:D64"/>
    <mergeCell ref="H64:J64"/>
    <mergeCell ref="B65:D65"/>
    <mergeCell ref="H65:J65"/>
    <mergeCell ref="B46:K46"/>
    <mergeCell ref="B57:D57"/>
    <mergeCell ref="H57:J57"/>
    <mergeCell ref="B58:D58"/>
    <mergeCell ref="H58:J58"/>
    <mergeCell ref="B48:D48"/>
    <mergeCell ref="H48:J48"/>
    <mergeCell ref="B49:D49"/>
    <mergeCell ref="H49:J49"/>
    <mergeCell ref="B50:D50"/>
    <mergeCell ref="H50:J50"/>
    <mergeCell ref="B51:D51"/>
    <mergeCell ref="H51:J51"/>
    <mergeCell ref="B52:D52"/>
    <mergeCell ref="H52:J52"/>
    <mergeCell ref="B53:D53"/>
    <mergeCell ref="A9:K9"/>
    <mergeCell ref="E37:F37"/>
    <mergeCell ref="B4:K4"/>
    <mergeCell ref="B5:D5"/>
    <mergeCell ref="E5:F6"/>
    <mergeCell ref="G5:K6"/>
    <mergeCell ref="A6:A7"/>
    <mergeCell ref="B6:D7"/>
    <mergeCell ref="E7:F7"/>
    <mergeCell ref="G7:K7"/>
    <mergeCell ref="A10:K10"/>
    <mergeCell ref="A11:K11"/>
    <mergeCell ref="B35:K35"/>
    <mergeCell ref="B28:C28"/>
    <mergeCell ref="E28:F28"/>
    <mergeCell ref="B29:C29"/>
    <mergeCell ref="A1:K1"/>
    <mergeCell ref="B2:F2"/>
    <mergeCell ref="G2:H2"/>
    <mergeCell ref="I2:K2"/>
    <mergeCell ref="B3:K3"/>
    <mergeCell ref="B26:K26"/>
    <mergeCell ref="B15:K15"/>
    <mergeCell ref="B17:C17"/>
    <mergeCell ref="E17:F17"/>
    <mergeCell ref="B18:C18"/>
    <mergeCell ref="E18:F18"/>
    <mergeCell ref="E38:F38"/>
    <mergeCell ref="B37:C37"/>
    <mergeCell ref="B38:C38"/>
    <mergeCell ref="E29:F29"/>
    <mergeCell ref="B44:K44"/>
    <mergeCell ref="H53:J53"/>
    <mergeCell ref="B54:D54"/>
    <mergeCell ref="H54:J54"/>
    <mergeCell ref="B55:D55"/>
    <mergeCell ref="H55:J55"/>
    <mergeCell ref="B56:D56"/>
    <mergeCell ref="H56:J56"/>
    <mergeCell ref="B60:D60"/>
    <mergeCell ref="H60:J60"/>
    <mergeCell ref="H61:J61"/>
    <mergeCell ref="B61:D61"/>
    <mergeCell ref="B79:D79"/>
    <mergeCell ref="H79:J79"/>
    <mergeCell ref="B71:D71"/>
    <mergeCell ref="H71:J71"/>
    <mergeCell ref="B72:D72"/>
    <mergeCell ref="H72:J72"/>
    <mergeCell ref="B73:D73"/>
    <mergeCell ref="H73:J73"/>
    <mergeCell ref="B76:D76"/>
    <mergeCell ref="H76:J76"/>
    <mergeCell ref="B77:D77"/>
    <mergeCell ref="H77:J77"/>
    <mergeCell ref="B78:D78"/>
    <mergeCell ref="H78:J78"/>
    <mergeCell ref="B75:D75"/>
    <mergeCell ref="H75:J75"/>
  </mergeCells>
  <pageMargins left="0.51181102362204722" right="0.51181102362204722" top="0.78740157480314965" bottom="0.78740157480314965" header="0.31496062992125984" footer="0.31496062992125984"/>
  <pageSetup paperSize="9"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3"/>
  <sheetViews>
    <sheetView view="pageBreakPreview" zoomScale="85" zoomScaleNormal="100" zoomScaleSheetLayoutView="85" workbookViewId="0">
      <selection activeCell="C20" sqref="C20:I20"/>
    </sheetView>
  </sheetViews>
  <sheetFormatPr defaultColWidth="9.140625" defaultRowHeight="12.75" x14ac:dyDescent="0.2"/>
  <cols>
    <col min="1" max="1" width="15.7109375" style="351" customWidth="1"/>
    <col min="2" max="2" width="13.5703125" style="351" customWidth="1"/>
    <col min="3" max="3" width="15.140625" style="351" customWidth="1"/>
    <col min="4" max="4" width="12.7109375" style="351" customWidth="1"/>
    <col min="5" max="5" width="20.85546875" style="351" customWidth="1"/>
    <col min="6" max="7" width="18" style="351" customWidth="1"/>
    <col min="8" max="8" width="22.28515625" style="351" customWidth="1"/>
    <col min="9" max="9" width="26.140625" style="351" customWidth="1"/>
    <col min="10" max="16384" width="9.140625" style="351"/>
  </cols>
  <sheetData>
    <row r="1" spans="1:11" ht="72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1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1" ht="15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1" ht="15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1" ht="15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1" x14ac:dyDescent="0.2">
      <c r="A6" s="1694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1" ht="15" x14ac:dyDescent="0.2">
      <c r="A7" s="1695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1" ht="13.5" thickBot="1" x14ac:dyDescent="0.25"/>
    <row r="9" spans="1:11" ht="15.75" customHeight="1" thickBot="1" x14ac:dyDescent="0.25">
      <c r="A9" s="1980" t="s">
        <v>952</v>
      </c>
      <c r="B9" s="1981"/>
      <c r="C9" s="1981"/>
      <c r="D9" s="1981"/>
      <c r="E9" s="1981"/>
      <c r="F9" s="1981"/>
      <c r="G9" s="1981"/>
      <c r="H9" s="1981"/>
      <c r="I9" s="1981"/>
      <c r="J9" s="1981"/>
      <c r="K9" s="1982"/>
    </row>
    <row r="10" spans="1:11" ht="15.75" customHeight="1" thickBot="1" x14ac:dyDescent="0.25">
      <c r="A10" s="1980" t="str">
        <f>ORÇ!B3</f>
        <v>CONSTRUÇÃO DO COMPLEXO ADMINISTRATIVO DO MUNICIPIO DE PLACAS</v>
      </c>
      <c r="B10" s="1981"/>
      <c r="C10" s="1981"/>
      <c r="D10" s="1981"/>
      <c r="E10" s="1981"/>
      <c r="F10" s="1981"/>
      <c r="G10" s="1981"/>
      <c r="H10" s="1981"/>
      <c r="I10" s="1981"/>
      <c r="J10" s="1981"/>
      <c r="K10" s="1982"/>
    </row>
    <row r="11" spans="1:11" ht="15.75" customHeight="1" thickBot="1" x14ac:dyDescent="0.25">
      <c r="A11" s="1980" t="s">
        <v>260</v>
      </c>
      <c r="B11" s="1981"/>
      <c r="C11" s="1981"/>
      <c r="D11" s="1981"/>
      <c r="E11" s="1981"/>
      <c r="F11" s="1981"/>
      <c r="G11" s="1981"/>
      <c r="H11" s="1981"/>
      <c r="I11" s="1981"/>
      <c r="J11" s="1981"/>
      <c r="K11" s="1982"/>
    </row>
    <row r="13" spans="1:11" x14ac:dyDescent="0.2">
      <c r="B13" s="358">
        <f>ORÇ!A132</f>
        <v>11</v>
      </c>
      <c r="C13" s="355" t="str">
        <f>ORÇ!D132</f>
        <v>Instalações Elétricas</v>
      </c>
    </row>
    <row r="14" spans="1:11" x14ac:dyDescent="0.2">
      <c r="B14" s="356"/>
    </row>
    <row r="15" spans="1:11" x14ac:dyDescent="0.2">
      <c r="B15" s="358" t="str">
        <f>ORÇ!A133</f>
        <v>11.1</v>
      </c>
      <c r="C15" s="355" t="str">
        <f>ORÇ!D133</f>
        <v>Entrada de Energia e Alimentadores de Quadros</v>
      </c>
    </row>
    <row r="16" spans="1:11" x14ac:dyDescent="0.2">
      <c r="B16" s="358" t="str">
        <f>ORÇ!A134</f>
        <v>11.1.1</v>
      </c>
      <c r="C16" s="1979" t="str">
        <f>ORÇ!D134</f>
        <v>Subestação aérea c/ transformador 150 KVA (incl.poste, acessorios e cabine de mediçao)</v>
      </c>
      <c r="D16" s="1979"/>
      <c r="E16" s="1979"/>
      <c r="F16" s="1979"/>
      <c r="G16" s="1979"/>
      <c r="H16" s="1979"/>
      <c r="I16" s="1979"/>
    </row>
    <row r="17" spans="2:11" x14ac:dyDescent="0.2">
      <c r="B17" s="358"/>
      <c r="C17" s="1513"/>
      <c r="D17" s="1513"/>
      <c r="E17" s="1513"/>
      <c r="F17" s="1513"/>
      <c r="G17" s="1513"/>
      <c r="H17" s="1513"/>
      <c r="I17" s="1513"/>
    </row>
    <row r="18" spans="2:11" x14ac:dyDescent="0.2">
      <c r="B18" s="358"/>
      <c r="C18" s="1540" t="s">
        <v>513</v>
      </c>
      <c r="D18" s="353">
        <v>1</v>
      </c>
      <c r="E18" s="1539" t="s">
        <v>236</v>
      </c>
      <c r="F18" s="1513"/>
      <c r="G18" s="1513"/>
      <c r="H18" s="1513"/>
      <c r="I18" s="1513"/>
    </row>
    <row r="19" spans="2:11" x14ac:dyDescent="0.2">
      <c r="B19" s="358"/>
      <c r="C19" s="1513"/>
      <c r="D19" s="1513"/>
      <c r="E19" s="1513"/>
      <c r="F19" s="1513"/>
      <c r="G19" s="1513"/>
      <c r="H19" s="1513"/>
      <c r="I19" s="1513"/>
    </row>
    <row r="20" spans="2:11" x14ac:dyDescent="0.2">
      <c r="B20" s="358" t="str">
        <f>ORÇ!A135</f>
        <v>11.1.2</v>
      </c>
      <c r="C20" s="1979" t="str">
        <f>ORÇ!D135</f>
        <v>CAIXA DE INSPEÇÃO PARA ATERRAMENTO, CIRCULAR, EM POLIETILENO, DIÂMETRO INTERNO = 0,3 M. AF_12/2020</v>
      </c>
      <c r="D20" s="1979"/>
      <c r="E20" s="1979"/>
      <c r="F20" s="1979"/>
      <c r="G20" s="1979"/>
      <c r="H20" s="1979"/>
      <c r="I20" s="1979"/>
    </row>
    <row r="21" spans="2:11" x14ac:dyDescent="0.2">
      <c r="B21" s="358"/>
      <c r="C21" s="1513"/>
      <c r="D21" s="1513"/>
      <c r="E21" s="1513"/>
      <c r="F21" s="1513"/>
      <c r="G21" s="1513"/>
      <c r="H21" s="1513"/>
      <c r="I21" s="1513"/>
    </row>
    <row r="22" spans="2:11" x14ac:dyDescent="0.2">
      <c r="B22" s="358"/>
      <c r="C22" s="1540" t="s">
        <v>513</v>
      </c>
      <c r="D22" s="353">
        <v>1</v>
      </c>
      <c r="E22" s="1539" t="s">
        <v>236</v>
      </c>
      <c r="F22" s="1513"/>
      <c r="G22" s="1513"/>
      <c r="H22" s="1513"/>
      <c r="I22" s="1513"/>
    </row>
    <row r="23" spans="2:11" x14ac:dyDescent="0.2">
      <c r="B23" s="358"/>
      <c r="C23" s="1513"/>
      <c r="D23" s="1513"/>
      <c r="E23" s="1513"/>
      <c r="F23" s="1513"/>
      <c r="G23" s="1513"/>
      <c r="H23" s="1513"/>
      <c r="I23" s="1513"/>
    </row>
    <row r="24" spans="2:11" x14ac:dyDescent="0.2">
      <c r="B24" s="358" t="str">
        <f>ORÇ!A136</f>
        <v>11.1.3</v>
      </c>
      <c r="C24" s="1979" t="str">
        <f>ORÇ!D136</f>
        <v>HASTE DE ATERRAMENTO 5/8  PARA SPDA - FORNECIMENTO E INSTALAÇÃO. AF_12/2017</v>
      </c>
      <c r="D24" s="1979"/>
      <c r="E24" s="1979"/>
      <c r="F24" s="1979"/>
      <c r="G24" s="1979"/>
      <c r="H24" s="1979"/>
      <c r="I24" s="1979"/>
    </row>
    <row r="25" spans="2:11" x14ac:dyDescent="0.2">
      <c r="B25" s="358"/>
      <c r="C25" s="1513"/>
      <c r="D25" s="1513"/>
      <c r="E25" s="1513"/>
      <c r="F25" s="1513"/>
      <c r="G25" s="1513"/>
      <c r="H25" s="1513"/>
      <c r="I25" s="1513"/>
    </row>
    <row r="26" spans="2:11" x14ac:dyDescent="0.2">
      <c r="B26" s="358"/>
      <c r="C26" s="1540" t="s">
        <v>513</v>
      </c>
      <c r="D26" s="353">
        <v>6</v>
      </c>
      <c r="E26" s="1539" t="s">
        <v>236</v>
      </c>
      <c r="F26" s="1513"/>
      <c r="G26" s="1513"/>
      <c r="H26" s="1513"/>
      <c r="I26" s="1513"/>
    </row>
    <row r="27" spans="2:11" x14ac:dyDescent="0.2">
      <c r="B27" s="358"/>
      <c r="C27" s="1513"/>
      <c r="D27" s="1513"/>
      <c r="E27" s="1513"/>
      <c r="F27" s="1513"/>
      <c r="G27" s="1513"/>
      <c r="H27" s="1513"/>
      <c r="I27" s="1513"/>
    </row>
    <row r="28" spans="2:11" x14ac:dyDescent="0.2">
      <c r="B28" s="358" t="str">
        <f>ORÇ!A137</f>
        <v>11.1.4</v>
      </c>
      <c r="C28" s="1979" t="str">
        <f>ORÇ!D137</f>
        <v>CORDOALHA DE COBRE NU 50 MM², ENTERRADA, SEM ISOLADOR - FORNECIMENTO E INSTALAÇÃO. AF_12/2017</v>
      </c>
      <c r="D28" s="1979"/>
      <c r="E28" s="1979"/>
      <c r="F28" s="1979"/>
      <c r="G28" s="1979"/>
      <c r="H28" s="1979"/>
      <c r="I28" s="1979"/>
    </row>
    <row r="29" spans="2:11" x14ac:dyDescent="0.2">
      <c r="B29" s="358"/>
      <c r="C29" s="1513"/>
      <c r="D29" s="1513"/>
      <c r="E29" s="1513"/>
      <c r="F29" s="1513"/>
      <c r="G29" s="1513"/>
      <c r="H29" s="1513"/>
      <c r="I29" s="1513"/>
    </row>
    <row r="30" spans="2:11" x14ac:dyDescent="0.2">
      <c r="B30" s="358"/>
      <c r="C30" s="1540" t="s">
        <v>513</v>
      </c>
      <c r="D30" s="353">
        <v>24</v>
      </c>
      <c r="E30" s="1539" t="s">
        <v>214</v>
      </c>
      <c r="F30" s="1513"/>
      <c r="G30" s="1513"/>
      <c r="H30" s="1513"/>
      <c r="I30" s="1513"/>
    </row>
    <row r="31" spans="2:11" x14ac:dyDescent="0.2">
      <c r="B31" s="358"/>
      <c r="C31" s="1513"/>
      <c r="D31" s="1513"/>
      <c r="E31" s="1513"/>
      <c r="F31" s="1513"/>
      <c r="G31" s="1513"/>
      <c r="H31" s="1513"/>
      <c r="I31" s="1513"/>
    </row>
    <row r="32" spans="2:11" x14ac:dyDescent="0.2">
      <c r="B32" s="358" t="str">
        <f>ORÇ!A138</f>
        <v>11.1.5</v>
      </c>
      <c r="C32" s="1983" t="str">
        <f>ORÇ!D138</f>
        <v>ELETRODUTO FLEXÍVEL CORRUGADO, PEAD, DN 100 (4"), PARA REDE ENTERRADA DE DISTRIBUIÇÃO DE ENERGIA ELÉTRICA - FORNECIMENTO E INSTALAÇÃO. AF_12/2021</v>
      </c>
      <c r="D32" s="1983"/>
      <c r="E32" s="1983"/>
      <c r="F32" s="1983"/>
      <c r="G32" s="1983"/>
      <c r="H32" s="1983"/>
      <c r="I32" s="1983"/>
      <c r="J32" s="1983"/>
      <c r="K32" s="1983"/>
    </row>
    <row r="33" spans="2:11" x14ac:dyDescent="0.2">
      <c r="B33" s="358"/>
      <c r="C33" s="1513"/>
      <c r="D33" s="1513"/>
      <c r="E33" s="1513"/>
      <c r="F33" s="1513"/>
      <c r="G33" s="1513"/>
      <c r="H33" s="1513"/>
      <c r="I33" s="1513"/>
    </row>
    <row r="34" spans="2:11" x14ac:dyDescent="0.2">
      <c r="B34" s="358"/>
      <c r="C34" s="1540" t="s">
        <v>513</v>
      </c>
      <c r="D34" s="353">
        <v>25</v>
      </c>
      <c r="E34" s="1539" t="s">
        <v>214</v>
      </c>
      <c r="F34" s="1513"/>
      <c r="G34" s="1513"/>
      <c r="H34" s="1513"/>
      <c r="I34" s="1513"/>
    </row>
    <row r="35" spans="2:11" x14ac:dyDescent="0.2">
      <c r="B35" s="358"/>
      <c r="C35" s="1513"/>
      <c r="D35" s="1513"/>
      <c r="E35" s="1513"/>
      <c r="F35" s="1513"/>
      <c r="G35" s="1513"/>
      <c r="H35" s="1513"/>
      <c r="I35" s="1513"/>
    </row>
    <row r="36" spans="2:11" x14ac:dyDescent="0.2">
      <c r="B36" s="358" t="str">
        <f>ORÇ!A139</f>
        <v>11.1.6</v>
      </c>
      <c r="C36" s="1979" t="str">
        <f>ORÇ!D139</f>
        <v>CAIXA ENTERRADA ELÉTRICA RETANGULAR, EM CONCRETO PRÉ-MOLDADO, FUNDO COM BRITA, DIMENSÕES INTERNAS: 0,8X0,8X0,5 M. AF_12/2020</v>
      </c>
      <c r="D36" s="1979"/>
      <c r="E36" s="1979"/>
      <c r="F36" s="1979"/>
      <c r="G36" s="1979"/>
      <c r="H36" s="1979"/>
      <c r="I36" s="1979"/>
    </row>
    <row r="37" spans="2:11" x14ac:dyDescent="0.2">
      <c r="B37" s="358"/>
      <c r="C37" s="1513"/>
      <c r="D37" s="1513"/>
      <c r="E37" s="1513"/>
      <c r="F37" s="1513"/>
      <c r="G37" s="1513"/>
      <c r="H37" s="1513"/>
      <c r="I37" s="1513"/>
    </row>
    <row r="38" spans="2:11" x14ac:dyDescent="0.2">
      <c r="B38" s="358"/>
      <c r="C38" s="1540" t="s">
        <v>513</v>
      </c>
      <c r="D38" s="353">
        <v>1</v>
      </c>
      <c r="E38" s="1539" t="s">
        <v>236</v>
      </c>
      <c r="F38" s="1513"/>
      <c r="G38" s="1513"/>
      <c r="H38" s="1513"/>
      <c r="I38" s="1513"/>
    </row>
    <row r="39" spans="2:11" x14ac:dyDescent="0.2">
      <c r="B39" s="358"/>
      <c r="C39" s="1513"/>
      <c r="D39" s="1513"/>
      <c r="E39" s="1513"/>
      <c r="F39" s="1513"/>
      <c r="G39" s="1513"/>
      <c r="H39" s="1513"/>
      <c r="I39" s="1513"/>
    </row>
    <row r="40" spans="2:11" x14ac:dyDescent="0.2">
      <c r="B40" s="358" t="str">
        <f>ORÇ!A140</f>
        <v>11.1.7</v>
      </c>
      <c r="C40" s="1979" t="str">
        <f>ORÇ!D140</f>
        <v>CAIXA ENTERRADA ELÉTRICA RETANGULAR, EM CONCRETO PRÉ-MOLDADO, FUNDO COM BRITA, DIMENSÕES INTERNAS: 0,4X0,4X0,4 M. AF_12/2020</v>
      </c>
      <c r="D40" s="1979"/>
      <c r="E40" s="1979"/>
      <c r="F40" s="1979"/>
      <c r="G40" s="1979"/>
      <c r="H40" s="1979"/>
      <c r="I40" s="1979"/>
    </row>
    <row r="41" spans="2:11" x14ac:dyDescent="0.2">
      <c r="B41" s="358"/>
      <c r="C41" s="1513"/>
      <c r="D41" s="1513"/>
      <c r="E41" s="1513"/>
      <c r="F41" s="1513"/>
      <c r="G41" s="1513"/>
      <c r="H41" s="1513"/>
      <c r="I41" s="1513"/>
    </row>
    <row r="42" spans="2:11" x14ac:dyDescent="0.2">
      <c r="B42" s="358"/>
      <c r="C42" s="1540" t="s">
        <v>513</v>
      </c>
      <c r="D42" s="353">
        <v>3</v>
      </c>
      <c r="E42" s="1539" t="s">
        <v>236</v>
      </c>
      <c r="F42" s="1513"/>
      <c r="G42" s="1513"/>
      <c r="H42" s="1513"/>
      <c r="I42" s="1513"/>
    </row>
    <row r="43" spans="2:11" x14ac:dyDescent="0.2">
      <c r="B43" s="358"/>
      <c r="C43" s="1513"/>
      <c r="D43" s="1513"/>
      <c r="E43" s="1513"/>
      <c r="F43" s="1513"/>
      <c r="G43" s="1513"/>
      <c r="H43" s="1513"/>
      <c r="I43" s="1513"/>
    </row>
    <row r="44" spans="2:11" x14ac:dyDescent="0.2">
      <c r="B44" s="358" t="str">
        <f>ORÇ!A141</f>
        <v>11.1.8</v>
      </c>
      <c r="C44" s="1978" t="str">
        <f>ORÇ!D141</f>
        <v>CABO DE COBRE FLEXÍVEL ISOLADO, 185 MM², ANTI-CHAMA 0,6/1,0 KV, PARA REDE ENTERRADA DE DISTRIBUIÇÃO DE ENERGIA ELÉTRICA - FORNECIMENTO E INSTALAÇÃO. AF_12/2021</v>
      </c>
      <c r="D44" s="1978"/>
      <c r="E44" s="1978"/>
      <c r="F44" s="1978"/>
      <c r="G44" s="1978"/>
      <c r="H44" s="1978"/>
      <c r="I44" s="1978"/>
      <c r="J44" s="1978"/>
      <c r="K44" s="1978"/>
    </row>
    <row r="45" spans="2:11" x14ac:dyDescent="0.2">
      <c r="B45" s="358"/>
      <c r="C45" s="1513"/>
      <c r="D45" s="1513"/>
      <c r="E45" s="1513"/>
      <c r="F45" s="1513"/>
      <c r="G45" s="1513"/>
      <c r="H45" s="1513"/>
      <c r="I45" s="1513"/>
    </row>
    <row r="46" spans="2:11" x14ac:dyDescent="0.2">
      <c r="B46" s="358"/>
      <c r="C46" s="1540" t="s">
        <v>513</v>
      </c>
      <c r="D46" s="353">
        <v>100</v>
      </c>
      <c r="E46" s="1539" t="s">
        <v>214</v>
      </c>
      <c r="F46" s="1513"/>
      <c r="G46" s="1513"/>
      <c r="H46" s="1513"/>
      <c r="I46" s="1513"/>
    </row>
    <row r="47" spans="2:11" x14ac:dyDescent="0.2">
      <c r="B47" s="358"/>
      <c r="C47" s="1513"/>
      <c r="D47" s="1513"/>
      <c r="E47" s="1513"/>
      <c r="F47" s="1513"/>
      <c r="G47" s="1513"/>
      <c r="H47" s="1513"/>
      <c r="I47" s="1513"/>
    </row>
    <row r="48" spans="2:11" x14ac:dyDescent="0.2">
      <c r="B48" s="358" t="str">
        <f>ORÇ!A142</f>
        <v>11.1.9</v>
      </c>
      <c r="C48" s="1978" t="str">
        <f>ORÇ!D142</f>
        <v>CABO DE COBRE FLEXÍVEL ISOLADO, 95 MM², ANTI-CHAMA 0,6/1,0 KV, PARA REDE ENTERRADA DE DISTRIBUIÇÃO DE ENERGIA ELÉTRICA - FORNECIMENTO E INSTALAÇÃO. AF_12/2021</v>
      </c>
      <c r="D48" s="1978"/>
      <c r="E48" s="1978"/>
      <c r="F48" s="1978"/>
      <c r="G48" s="1978"/>
      <c r="H48" s="1978"/>
      <c r="I48" s="1978"/>
      <c r="J48" s="1978"/>
      <c r="K48" s="1978"/>
    </row>
    <row r="49" spans="2:9" x14ac:dyDescent="0.2">
      <c r="B49" s="358"/>
      <c r="C49" s="1513"/>
      <c r="D49" s="1513"/>
      <c r="E49" s="1513"/>
      <c r="F49" s="1513"/>
      <c r="G49" s="1513"/>
      <c r="H49" s="1513"/>
      <c r="I49" s="1513"/>
    </row>
    <row r="50" spans="2:9" x14ac:dyDescent="0.2">
      <c r="B50" s="358"/>
      <c r="C50" s="1540" t="s">
        <v>513</v>
      </c>
      <c r="D50" s="353">
        <v>25</v>
      </c>
      <c r="E50" s="1539" t="s">
        <v>214</v>
      </c>
      <c r="F50" s="1513"/>
      <c r="G50" s="1513"/>
      <c r="H50" s="1513"/>
      <c r="I50" s="1513"/>
    </row>
    <row r="51" spans="2:9" x14ac:dyDescent="0.2">
      <c r="B51" s="358"/>
      <c r="C51" s="1513"/>
      <c r="D51" s="1513"/>
      <c r="E51" s="1513"/>
      <c r="F51" s="1513"/>
      <c r="G51" s="1513"/>
      <c r="H51" s="1513"/>
      <c r="I51" s="1513"/>
    </row>
    <row r="52" spans="2:9" x14ac:dyDescent="0.2">
      <c r="B52" s="358" t="str">
        <f>ORÇ!A143</f>
        <v>11.2</v>
      </c>
      <c r="C52" s="1979" t="str">
        <f>ORÇ!D143</f>
        <v>Alimentadores de Quadros Parciais</v>
      </c>
      <c r="D52" s="1979"/>
      <c r="E52" s="1979"/>
      <c r="F52" s="1979"/>
      <c r="G52" s="1979"/>
      <c r="H52" s="1979"/>
      <c r="I52" s="1979"/>
    </row>
    <row r="53" spans="2:9" x14ac:dyDescent="0.2">
      <c r="B53" s="358" t="str">
        <f>ORÇ!A144</f>
        <v>11.2.1</v>
      </c>
      <c r="C53" s="1979" t="str">
        <f>ORÇ!D144</f>
        <v>ELETROCALHA 150x100x3000MM. FORNECIMENTO E INSTALAÇÃO.</v>
      </c>
      <c r="D53" s="1979"/>
      <c r="E53" s="1979"/>
      <c r="F53" s="1979"/>
      <c r="G53" s="1979"/>
      <c r="H53" s="1979"/>
      <c r="I53" s="1979"/>
    </row>
    <row r="54" spans="2:9" x14ac:dyDescent="0.2">
      <c r="B54" s="358"/>
      <c r="C54" s="1513"/>
      <c r="D54" s="1513"/>
      <c r="E54" s="1513"/>
      <c r="F54" s="1513"/>
      <c r="G54" s="1513"/>
      <c r="H54" s="1513"/>
      <c r="I54" s="1513"/>
    </row>
    <row r="55" spans="2:9" x14ac:dyDescent="0.2">
      <c r="B55" s="358"/>
      <c r="C55" s="1540" t="s">
        <v>513</v>
      </c>
      <c r="D55" s="353">
        <v>55</v>
      </c>
      <c r="E55" s="1539" t="s">
        <v>214</v>
      </c>
      <c r="F55" s="1513"/>
      <c r="G55" s="1513"/>
      <c r="H55" s="1513"/>
      <c r="I55" s="1513"/>
    </row>
    <row r="56" spans="2:9" x14ac:dyDescent="0.2">
      <c r="B56" s="358"/>
      <c r="C56" s="1513"/>
      <c r="D56" s="1513"/>
      <c r="E56" s="1513"/>
      <c r="F56" s="1513"/>
      <c r="G56" s="1513"/>
      <c r="H56" s="1513"/>
      <c r="I56" s="1513"/>
    </row>
    <row r="57" spans="2:9" x14ac:dyDescent="0.2">
      <c r="B57" s="358" t="str">
        <f>ORÇ!A145</f>
        <v>11.2.2</v>
      </c>
      <c r="C57" s="1979" t="str">
        <f>ORÇ!D145</f>
        <v>TAMPA DE ENCAIXE PARA ELETROCALHA 150X100X3000MM. FORNECIMENTO E INSTALAÇÃO.</v>
      </c>
      <c r="D57" s="1979"/>
      <c r="E57" s="1979"/>
      <c r="F57" s="1979"/>
      <c r="G57" s="1979"/>
      <c r="H57" s="1979"/>
      <c r="I57" s="1979"/>
    </row>
    <row r="58" spans="2:9" x14ac:dyDescent="0.2">
      <c r="B58" s="358"/>
      <c r="C58" s="1513"/>
      <c r="D58" s="1513"/>
      <c r="E58" s="1513"/>
      <c r="F58" s="1513"/>
      <c r="G58" s="1513"/>
      <c r="H58" s="1513"/>
      <c r="I58" s="1513"/>
    </row>
    <row r="59" spans="2:9" x14ac:dyDescent="0.2">
      <c r="B59" s="358"/>
      <c r="C59" s="1540" t="s">
        <v>513</v>
      </c>
      <c r="D59" s="353">
        <v>55</v>
      </c>
      <c r="E59" s="1539" t="s">
        <v>214</v>
      </c>
      <c r="F59" s="1513"/>
      <c r="G59" s="1513"/>
      <c r="H59" s="1513"/>
      <c r="I59" s="1513"/>
    </row>
    <row r="60" spans="2:9" x14ac:dyDescent="0.2">
      <c r="B60" s="358"/>
      <c r="C60" s="1513"/>
      <c r="D60" s="1513"/>
      <c r="E60" s="1513"/>
      <c r="F60" s="1513"/>
      <c r="G60" s="1513"/>
      <c r="H60" s="1513"/>
      <c r="I60" s="1513"/>
    </row>
    <row r="61" spans="2:9" x14ac:dyDescent="0.2">
      <c r="B61" s="358" t="str">
        <f>ORÇ!A146</f>
        <v>11.2.3</v>
      </c>
      <c r="C61" s="1979" t="str">
        <f>ORÇ!D146</f>
        <v>TÊ PARA ELETROCALHA 150X100</v>
      </c>
      <c r="D61" s="1979"/>
      <c r="E61" s="1979"/>
      <c r="F61" s="1979"/>
      <c r="G61" s="1979"/>
      <c r="H61" s="1979"/>
      <c r="I61" s="1979"/>
    </row>
    <row r="62" spans="2:9" x14ac:dyDescent="0.2">
      <c r="B62" s="358"/>
      <c r="C62" s="1513"/>
      <c r="D62" s="1513"/>
      <c r="E62" s="1513"/>
      <c r="F62" s="1513"/>
      <c r="G62" s="1513"/>
      <c r="H62" s="1513"/>
      <c r="I62" s="1513"/>
    </row>
    <row r="63" spans="2:9" x14ac:dyDescent="0.2">
      <c r="B63" s="358"/>
      <c r="C63" s="1540" t="s">
        <v>513</v>
      </c>
      <c r="D63" s="353">
        <v>1</v>
      </c>
      <c r="E63" s="1539" t="s">
        <v>236</v>
      </c>
      <c r="F63" s="1513"/>
      <c r="G63" s="1513"/>
      <c r="H63" s="1513"/>
      <c r="I63" s="1513"/>
    </row>
    <row r="64" spans="2:9" x14ac:dyDescent="0.2">
      <c r="B64" s="358"/>
      <c r="C64" s="1513"/>
      <c r="D64" s="1513"/>
      <c r="E64" s="1513"/>
      <c r="F64" s="1513"/>
      <c r="G64" s="1513"/>
      <c r="H64" s="1513"/>
      <c r="I64" s="1513"/>
    </row>
    <row r="65" spans="2:9" x14ac:dyDescent="0.2">
      <c r="B65" s="358" t="str">
        <f>ORÇ!A147</f>
        <v>11.2.4</v>
      </c>
      <c r="C65" s="1979" t="str">
        <f>ORÇ!D147</f>
        <v>TALA DE EMENDA PARA ELETROCALHA 150X100MM. FORNECIMENTO E INSTALAÇÃO.</v>
      </c>
      <c r="D65" s="1979"/>
      <c r="E65" s="1979"/>
      <c r="F65" s="1979"/>
      <c r="G65" s="1979"/>
      <c r="H65" s="1979"/>
      <c r="I65" s="1979"/>
    </row>
    <row r="66" spans="2:9" x14ac:dyDescent="0.2">
      <c r="B66" s="358"/>
      <c r="C66" s="1513"/>
      <c r="D66" s="1513"/>
      <c r="E66" s="1513"/>
      <c r="F66" s="1513"/>
      <c r="G66" s="1513"/>
      <c r="H66" s="1513"/>
      <c r="I66" s="1513"/>
    </row>
    <row r="67" spans="2:9" x14ac:dyDescent="0.2">
      <c r="B67" s="358"/>
      <c r="C67" s="1540" t="s">
        <v>513</v>
      </c>
      <c r="D67" s="353">
        <v>72</v>
      </c>
      <c r="E67" s="1539" t="s">
        <v>236</v>
      </c>
      <c r="F67" s="1513"/>
      <c r="G67" s="1513"/>
      <c r="H67" s="1513"/>
      <c r="I67" s="1513"/>
    </row>
    <row r="68" spans="2:9" x14ac:dyDescent="0.2">
      <c r="B68" s="358"/>
      <c r="C68" s="1513"/>
      <c r="D68" s="1513"/>
      <c r="E68" s="1513"/>
      <c r="F68" s="1513"/>
      <c r="G68" s="1513"/>
      <c r="H68" s="1513"/>
      <c r="I68" s="1513"/>
    </row>
    <row r="69" spans="2:9" x14ac:dyDescent="0.2">
      <c r="B69" s="358" t="str">
        <f>ORÇ!A148</f>
        <v>11.2.5</v>
      </c>
      <c r="C69" s="1979" t="str">
        <f>ORÇ!D148</f>
        <v>CURVA PARA ELETROCALHA 150X100MM. FORNECIMENTO E INSTALAÇÃO.</v>
      </c>
      <c r="D69" s="1979"/>
      <c r="E69" s="1979"/>
      <c r="F69" s="1979"/>
      <c r="G69" s="1979"/>
      <c r="H69" s="1979"/>
      <c r="I69" s="1979"/>
    </row>
    <row r="70" spans="2:9" x14ac:dyDescent="0.2">
      <c r="B70" s="358"/>
      <c r="C70" s="1513"/>
      <c r="D70" s="1513"/>
      <c r="E70" s="1513"/>
      <c r="F70" s="1513"/>
      <c r="G70" s="1513"/>
      <c r="H70" s="1513"/>
      <c r="I70" s="1513"/>
    </row>
    <row r="71" spans="2:9" x14ac:dyDescent="0.2">
      <c r="B71" s="358"/>
      <c r="C71" s="1540" t="s">
        <v>513</v>
      </c>
      <c r="D71" s="353">
        <v>1</v>
      </c>
      <c r="E71" s="1539" t="s">
        <v>236</v>
      </c>
      <c r="F71" s="1513"/>
      <c r="G71" s="1513"/>
      <c r="H71" s="1513"/>
      <c r="I71" s="1513"/>
    </row>
    <row r="72" spans="2:9" x14ac:dyDescent="0.2">
      <c r="B72" s="358"/>
      <c r="C72" s="1513"/>
      <c r="D72" s="1513"/>
      <c r="E72" s="1513"/>
      <c r="F72" s="1513"/>
      <c r="G72" s="1513"/>
      <c r="H72" s="1513"/>
      <c r="I72" s="1513"/>
    </row>
    <row r="73" spans="2:9" x14ac:dyDescent="0.2">
      <c r="B73" s="358" t="str">
        <f>ORÇ!A149</f>
        <v>11.2.6</v>
      </c>
      <c r="C73" s="1979" t="str">
        <f>ORÇ!D149</f>
        <v>CURVA DE INVERSÃO PARA ELETROCALHA 150X100MM. FORNECIMENTO E INSTALAÇÃO.</v>
      </c>
      <c r="D73" s="1979"/>
      <c r="E73" s="1979"/>
      <c r="F73" s="1979"/>
      <c r="G73" s="1979"/>
      <c r="H73" s="1979"/>
      <c r="I73" s="1979"/>
    </row>
    <row r="74" spans="2:9" x14ac:dyDescent="0.2">
      <c r="B74" s="358"/>
      <c r="C74" s="1513"/>
      <c r="D74" s="1513"/>
      <c r="E74" s="1513"/>
      <c r="F74" s="1513"/>
      <c r="G74" s="1513"/>
      <c r="H74" s="1513"/>
      <c r="I74" s="1513"/>
    </row>
    <row r="75" spans="2:9" x14ac:dyDescent="0.2">
      <c r="B75" s="358"/>
      <c r="C75" s="1540" t="s">
        <v>513</v>
      </c>
      <c r="D75" s="353">
        <v>1</v>
      </c>
      <c r="E75" s="1539" t="s">
        <v>236</v>
      </c>
      <c r="F75" s="1513"/>
      <c r="G75" s="1513"/>
      <c r="H75" s="1513"/>
      <c r="I75" s="1513"/>
    </row>
    <row r="76" spans="2:9" x14ac:dyDescent="0.2">
      <c r="B76" s="358"/>
      <c r="C76" s="1513"/>
      <c r="D76" s="1513"/>
      <c r="E76" s="1513"/>
      <c r="F76" s="1513"/>
      <c r="G76" s="1513"/>
      <c r="H76" s="1513"/>
      <c r="I76" s="1513"/>
    </row>
    <row r="77" spans="2:9" x14ac:dyDescent="0.2">
      <c r="B77" s="358" t="str">
        <f>ORÇ!A150</f>
        <v>11.2.7</v>
      </c>
      <c r="C77" s="1979" t="str">
        <f>ORÇ!D150</f>
        <v>FLANGE DE ACOPLAMENTO EM PAINEL PARA 150X100MM. FORNECIMENTO E INSTALAÇÃO.</v>
      </c>
      <c r="D77" s="1979"/>
      <c r="E77" s="1979"/>
      <c r="F77" s="1979"/>
      <c r="G77" s="1979"/>
      <c r="H77" s="1979"/>
      <c r="I77" s="1979"/>
    </row>
    <row r="78" spans="2:9" x14ac:dyDescent="0.2">
      <c r="B78" s="358"/>
      <c r="C78" s="1513"/>
      <c r="D78" s="1513"/>
      <c r="E78" s="1513"/>
      <c r="F78" s="1513"/>
      <c r="G78" s="1513"/>
      <c r="H78" s="1513"/>
      <c r="I78" s="1513"/>
    </row>
    <row r="79" spans="2:9" x14ac:dyDescent="0.2">
      <c r="B79" s="358"/>
      <c r="C79" s="1540" t="s">
        <v>513</v>
      </c>
      <c r="D79" s="353">
        <v>1</v>
      </c>
      <c r="E79" s="1539" t="s">
        <v>236</v>
      </c>
      <c r="F79" s="1513"/>
      <c r="G79" s="1513"/>
      <c r="H79" s="1513"/>
      <c r="I79" s="1513"/>
    </row>
    <row r="80" spans="2:9" x14ac:dyDescent="0.2">
      <c r="B80" s="358"/>
      <c r="C80" s="1513"/>
      <c r="D80" s="1513"/>
      <c r="E80" s="1513"/>
      <c r="F80" s="1513"/>
      <c r="G80" s="1513"/>
      <c r="H80" s="1513"/>
      <c r="I80" s="1513"/>
    </row>
    <row r="81" spans="2:11" x14ac:dyDescent="0.2">
      <c r="B81" s="358" t="str">
        <f>ORÇ!A151</f>
        <v>11.2.8</v>
      </c>
      <c r="C81" s="1979" t="str">
        <f>ORÇ!D151</f>
        <v>TERMINAL PARA ELETROCALHA 150X100MM. FORNECIMENTO E INSTALAÇÃO.</v>
      </c>
      <c r="D81" s="1979"/>
      <c r="E81" s="1979"/>
      <c r="F81" s="1979"/>
      <c r="G81" s="1979"/>
      <c r="H81" s="1979"/>
      <c r="I81" s="1979"/>
    </row>
    <row r="82" spans="2:11" x14ac:dyDescent="0.2">
      <c r="B82" s="358"/>
      <c r="C82" s="1513"/>
      <c r="D82" s="1513"/>
      <c r="E82" s="1513"/>
      <c r="F82" s="1513"/>
      <c r="G82" s="1513"/>
      <c r="H82" s="1513"/>
      <c r="I82" s="1513"/>
    </row>
    <row r="83" spans="2:11" x14ac:dyDescent="0.2">
      <c r="B83" s="358"/>
      <c r="C83" s="1540" t="s">
        <v>513</v>
      </c>
      <c r="D83" s="353">
        <v>2</v>
      </c>
      <c r="E83" s="1539" t="s">
        <v>236</v>
      </c>
      <c r="F83" s="1513"/>
      <c r="G83" s="1513"/>
      <c r="H83" s="1513"/>
      <c r="I83" s="1513"/>
    </row>
    <row r="84" spans="2:11" x14ac:dyDescent="0.2">
      <c r="B84" s="358"/>
      <c r="C84" s="1513"/>
      <c r="D84" s="1513"/>
      <c r="E84" s="1513"/>
      <c r="F84" s="1513"/>
      <c r="G84" s="1513"/>
      <c r="H84" s="1513"/>
      <c r="I84" s="1513"/>
    </row>
    <row r="85" spans="2:11" x14ac:dyDescent="0.2">
      <c r="B85" s="358" t="str">
        <f>ORÇ!A152</f>
        <v>11.2.9</v>
      </c>
      <c r="C85" s="1979" t="str">
        <f>ORÇ!D152</f>
        <v>SAIDA HORIZONTAL PARA ELETROCALHA 1 1/4". FORNECIMENTO E INSTALAÇÃO</v>
      </c>
      <c r="D85" s="1979"/>
      <c r="E85" s="1979"/>
      <c r="F85" s="1979"/>
      <c r="G85" s="1979"/>
      <c r="H85" s="1979"/>
      <c r="I85" s="1979"/>
    </row>
    <row r="86" spans="2:11" x14ac:dyDescent="0.2">
      <c r="B86" s="358"/>
      <c r="C86" s="1513"/>
      <c r="D86" s="1513"/>
      <c r="E86" s="1513"/>
      <c r="F86" s="1513"/>
      <c r="G86" s="1513"/>
      <c r="H86" s="1513"/>
      <c r="I86" s="1513"/>
    </row>
    <row r="87" spans="2:11" x14ac:dyDescent="0.2">
      <c r="B87" s="358"/>
      <c r="C87" s="1540" t="s">
        <v>513</v>
      </c>
      <c r="D87" s="353">
        <v>2</v>
      </c>
      <c r="E87" s="1539" t="s">
        <v>236</v>
      </c>
      <c r="F87" s="1513"/>
      <c r="G87" s="1513"/>
      <c r="H87" s="1513"/>
      <c r="I87" s="1513"/>
    </row>
    <row r="88" spans="2:11" x14ac:dyDescent="0.2">
      <c r="B88" s="358"/>
      <c r="C88" s="1513"/>
      <c r="D88" s="1513"/>
      <c r="E88" s="1513"/>
      <c r="F88" s="1513"/>
      <c r="G88" s="1513"/>
      <c r="H88" s="1513"/>
      <c r="I88" s="1513"/>
    </row>
    <row r="89" spans="2:11" x14ac:dyDescent="0.2">
      <c r="B89" s="358" t="str">
        <f>ORÇ!A153</f>
        <v>11.2.10</v>
      </c>
      <c r="C89" s="1978" t="str">
        <f>ORÇ!D153</f>
        <v>FIXAÇÃO DE TUBOS HORIZONTAIS DE PVC, CPVC OU COBRE DIÂMETROS MENORES OU IGUAIS A 40 MM OU ELETROCALHAS ATÉ 150MM DE LARGURA, COM ABRAÇADEIRA METÁLICA RÍGIDA TIPO D 1/2, FIXADA EM PERFILADO EM LAJE. AF_05/2015</v>
      </c>
      <c r="D89" s="1978"/>
      <c r="E89" s="1978"/>
      <c r="F89" s="1978"/>
      <c r="G89" s="1978"/>
      <c r="H89" s="1978"/>
      <c r="I89" s="1978"/>
      <c r="J89" s="1978"/>
      <c r="K89" s="1978"/>
    </row>
    <row r="90" spans="2:11" x14ac:dyDescent="0.2">
      <c r="B90" s="358"/>
      <c r="C90" s="1513"/>
      <c r="D90" s="1513"/>
      <c r="E90" s="1513"/>
      <c r="F90" s="1513"/>
      <c r="G90" s="1513"/>
      <c r="H90" s="1513"/>
      <c r="I90" s="1513"/>
    </row>
    <row r="91" spans="2:11" x14ac:dyDescent="0.2">
      <c r="B91" s="358"/>
      <c r="C91" s="1540" t="s">
        <v>513</v>
      </c>
      <c r="D91" s="353">
        <v>70</v>
      </c>
      <c r="E91" s="1539" t="s">
        <v>236</v>
      </c>
      <c r="F91" s="1513"/>
      <c r="G91" s="1513"/>
      <c r="H91" s="1513"/>
      <c r="I91" s="1513"/>
    </row>
    <row r="92" spans="2:11" x14ac:dyDescent="0.2">
      <c r="B92" s="358"/>
      <c r="C92" s="1513"/>
      <c r="D92" s="1513"/>
      <c r="E92" s="1513"/>
      <c r="F92" s="1513"/>
      <c r="G92" s="1513"/>
      <c r="H92" s="1513"/>
      <c r="I92" s="1513"/>
    </row>
    <row r="93" spans="2:11" x14ac:dyDescent="0.2">
      <c r="B93" s="358" t="str">
        <f>ORÇ!A154</f>
        <v>11.2.11</v>
      </c>
      <c r="C93" s="1978" t="str">
        <f>ORÇ!D154</f>
        <v>ELETRODUTO RÍGIDO ROSCÁVEL, PVC, DN 85 MM (3"), PARA REDE ENTERRADA DE DISTRIBUIÇÃO DE ENERGIA ELÉTRICA - FORNECIMENTO E INSTALAÇÃO. AF_12/2021</v>
      </c>
      <c r="D93" s="1978"/>
      <c r="E93" s="1978"/>
      <c r="F93" s="1978"/>
      <c r="G93" s="1978"/>
      <c r="H93" s="1978"/>
      <c r="I93" s="1978"/>
      <c r="J93" s="1978"/>
      <c r="K93" s="1978"/>
    </row>
    <row r="94" spans="2:11" x14ac:dyDescent="0.2">
      <c r="B94" s="358"/>
      <c r="C94" s="1513"/>
      <c r="D94" s="1513"/>
      <c r="E94" s="1513"/>
      <c r="F94" s="1513"/>
      <c r="G94" s="1513"/>
      <c r="H94" s="1513"/>
      <c r="I94" s="1513"/>
    </row>
    <row r="95" spans="2:11" x14ac:dyDescent="0.2">
      <c r="B95" s="358"/>
      <c r="C95" s="1540" t="s">
        <v>513</v>
      </c>
      <c r="D95" s="353">
        <v>10</v>
      </c>
      <c r="E95" s="1539" t="s">
        <v>214</v>
      </c>
      <c r="F95" s="1513"/>
      <c r="G95" s="1513"/>
      <c r="H95" s="1513"/>
      <c r="I95" s="1513"/>
    </row>
    <row r="96" spans="2:11" x14ac:dyDescent="0.2">
      <c r="B96" s="358"/>
      <c r="C96" s="1513"/>
      <c r="D96" s="1513"/>
      <c r="E96" s="1513"/>
      <c r="F96" s="1513"/>
      <c r="G96" s="1513"/>
      <c r="H96" s="1513"/>
      <c r="I96" s="1513"/>
    </row>
    <row r="97" spans="2:11" x14ac:dyDescent="0.2">
      <c r="B97" s="358" t="str">
        <f>ORÇ!A155</f>
        <v>11.2.12</v>
      </c>
      <c r="C97" s="1979" t="str">
        <f>ORÇ!D155</f>
        <v>ELETRODUTO RÍGIDO ROSCÁVEL, PVC, DN 40 MM (1 1/4"), PARA CIRCUITOS TERMINAIS, INSTALADO EM FORRO - FORNECIMENTO E INSTALAÇÃO. AF_12/2015</v>
      </c>
      <c r="D97" s="1979"/>
      <c r="E97" s="1979"/>
      <c r="F97" s="1979"/>
      <c r="G97" s="1979"/>
      <c r="H97" s="1979"/>
      <c r="I97" s="1979"/>
      <c r="J97" s="1979"/>
      <c r="K97" s="1979"/>
    </row>
    <row r="98" spans="2:11" x14ac:dyDescent="0.2">
      <c r="B98" s="358"/>
      <c r="C98" s="1513"/>
      <c r="D98" s="1513"/>
      <c r="E98" s="1513"/>
      <c r="F98" s="1513"/>
      <c r="G98" s="1513"/>
      <c r="H98" s="1513"/>
      <c r="I98" s="1513"/>
    </row>
    <row r="99" spans="2:11" x14ac:dyDescent="0.2">
      <c r="B99" s="358"/>
      <c r="C99" s="1540" t="s">
        <v>513</v>
      </c>
      <c r="D99" s="353">
        <v>20</v>
      </c>
      <c r="E99" s="1539" t="s">
        <v>214</v>
      </c>
      <c r="F99" s="1513"/>
      <c r="G99" s="1513"/>
      <c r="H99" s="1513"/>
      <c r="I99" s="1513"/>
    </row>
    <row r="100" spans="2:11" x14ac:dyDescent="0.2">
      <c r="B100" s="358"/>
      <c r="C100" s="1513"/>
      <c r="D100" s="1513"/>
      <c r="E100" s="1513"/>
      <c r="F100" s="1513"/>
      <c r="G100" s="1513"/>
      <c r="H100" s="1513"/>
      <c r="I100" s="1513"/>
    </row>
    <row r="101" spans="2:11" x14ac:dyDescent="0.2">
      <c r="B101" s="358" t="str">
        <f>ORÇ!A156</f>
        <v>11.2.13</v>
      </c>
      <c r="C101" s="1979" t="str">
        <f>ORÇ!D156</f>
        <v>CURVA 90 GRAUS PARA ELETRODUTO, PVC, ROSCÁVEL, DN 40 MM (1 1/4"), PARA CIRCUITOS TERMINAIS, INSTALADA EM PAREDE - FORNECIMENTO E INSTALAÇÃO. AF_12/2015</v>
      </c>
      <c r="D101" s="1979"/>
      <c r="E101" s="1979"/>
      <c r="F101" s="1979"/>
      <c r="G101" s="1979"/>
      <c r="H101" s="1979"/>
      <c r="I101" s="1979"/>
      <c r="J101" s="1979"/>
      <c r="K101" s="1979"/>
    </row>
    <row r="102" spans="2:11" x14ac:dyDescent="0.2">
      <c r="B102" s="358"/>
      <c r="C102" s="1513"/>
      <c r="D102" s="1513"/>
      <c r="E102" s="1513"/>
      <c r="F102" s="1513"/>
      <c r="G102" s="1513"/>
      <c r="H102" s="1513"/>
      <c r="I102" s="1513"/>
    </row>
    <row r="103" spans="2:11" x14ac:dyDescent="0.2">
      <c r="B103" s="358"/>
      <c r="C103" s="1540" t="s">
        <v>513</v>
      </c>
      <c r="D103" s="353">
        <v>2</v>
      </c>
      <c r="E103" s="1539" t="s">
        <v>236</v>
      </c>
      <c r="F103" s="1513"/>
      <c r="G103" s="1513"/>
      <c r="H103" s="1513"/>
      <c r="I103" s="1513"/>
    </row>
    <row r="104" spans="2:11" x14ac:dyDescent="0.2">
      <c r="B104" s="358"/>
      <c r="C104" s="1513"/>
      <c r="D104" s="1513"/>
      <c r="E104" s="1513"/>
      <c r="F104" s="1513"/>
      <c r="G104" s="1513"/>
      <c r="H104" s="1513"/>
      <c r="I104" s="1513"/>
    </row>
    <row r="105" spans="2:11" x14ac:dyDescent="0.2">
      <c r="B105" s="358" t="str">
        <f>ORÇ!A157</f>
        <v>11.2.14</v>
      </c>
      <c r="C105" s="1978" t="str">
        <f>ORÇ!D157</f>
        <v>LUVA PARA ELETRODUTO, PVC, ROSCÁVEL, DN 85 MM (3"), PARA REDE ENTERRADA DE DISTRIBUIÇÃO DE ENERGIA ELÉTRICA - FORNECIMENTO E INSTALAÇÃO. AF_12/2021</v>
      </c>
      <c r="D105" s="1978"/>
      <c r="E105" s="1978"/>
      <c r="F105" s="1978"/>
      <c r="G105" s="1978"/>
      <c r="H105" s="1978"/>
      <c r="I105" s="1978"/>
      <c r="J105" s="1978"/>
      <c r="K105" s="1978"/>
    </row>
    <row r="106" spans="2:11" x14ac:dyDescent="0.2">
      <c r="B106" s="358"/>
      <c r="C106" s="1513"/>
      <c r="D106" s="1513"/>
      <c r="E106" s="1513"/>
      <c r="F106" s="1513"/>
      <c r="G106" s="1513"/>
      <c r="H106" s="1513"/>
      <c r="I106" s="1513"/>
    </row>
    <row r="107" spans="2:11" x14ac:dyDescent="0.2">
      <c r="B107" s="358"/>
      <c r="C107" s="1540" t="s">
        <v>513</v>
      </c>
      <c r="D107" s="353">
        <v>3</v>
      </c>
      <c r="E107" s="1539" t="s">
        <v>236</v>
      </c>
      <c r="F107" s="1513"/>
      <c r="G107" s="1513"/>
      <c r="H107" s="1513"/>
      <c r="I107" s="1513"/>
    </row>
    <row r="108" spans="2:11" x14ac:dyDescent="0.2">
      <c r="B108" s="358"/>
      <c r="C108" s="1513"/>
      <c r="D108" s="1513"/>
      <c r="E108" s="1513"/>
      <c r="F108" s="1513"/>
      <c r="G108" s="1513"/>
      <c r="H108" s="1513"/>
      <c r="I108" s="1513"/>
    </row>
    <row r="109" spans="2:11" x14ac:dyDescent="0.2">
      <c r="B109" s="358" t="str">
        <f>ORÇ!A158</f>
        <v>11.2.15</v>
      </c>
      <c r="C109" s="1978" t="str">
        <f>ORÇ!D158</f>
        <v>LUVA PARA ELETRODUTO, PVC, ROSCÁVEL, DN 40 MM (1 1/4"), PARA CIRCUITOS TERMINAIS, INSTALADA EM FORRO - FORNECIMENTO E INSTALAÇÃO. AF_12/2015</v>
      </c>
      <c r="D109" s="1978"/>
      <c r="E109" s="1978"/>
      <c r="F109" s="1978"/>
      <c r="G109" s="1978"/>
      <c r="H109" s="1978"/>
      <c r="I109" s="1978"/>
      <c r="J109" s="1978"/>
      <c r="K109" s="1978"/>
    </row>
    <row r="110" spans="2:11" x14ac:dyDescent="0.2">
      <c r="B110" s="358"/>
      <c r="C110" s="1513"/>
      <c r="D110" s="1513"/>
      <c r="E110" s="1513"/>
      <c r="F110" s="1513"/>
      <c r="G110" s="1513"/>
      <c r="H110" s="1513"/>
      <c r="I110" s="1513"/>
    </row>
    <row r="111" spans="2:11" x14ac:dyDescent="0.2">
      <c r="B111" s="358"/>
      <c r="C111" s="1540" t="s">
        <v>513</v>
      </c>
      <c r="D111" s="353">
        <v>4</v>
      </c>
      <c r="E111" s="1539" t="s">
        <v>236</v>
      </c>
      <c r="F111" s="1513"/>
      <c r="G111" s="1513"/>
      <c r="H111" s="1513"/>
      <c r="I111" s="1513"/>
    </row>
    <row r="112" spans="2:11" x14ac:dyDescent="0.2">
      <c r="B112" s="358"/>
      <c r="C112" s="1513"/>
      <c r="D112" s="1513"/>
      <c r="E112" s="1513"/>
      <c r="F112" s="1513"/>
      <c r="G112" s="1513"/>
      <c r="H112" s="1513"/>
      <c r="I112" s="1513"/>
    </row>
    <row r="113" spans="2:11" x14ac:dyDescent="0.2">
      <c r="B113" s="358" t="str">
        <f>ORÇ!A159</f>
        <v>11.2.16</v>
      </c>
      <c r="C113" s="1979" t="str">
        <f>ORÇ!D159</f>
        <v>Bucha e arruela de alumínio de 3"</v>
      </c>
      <c r="D113" s="1979"/>
      <c r="E113" s="1979"/>
      <c r="F113" s="1979"/>
      <c r="G113" s="1979"/>
      <c r="H113" s="1979"/>
      <c r="I113" s="1979"/>
    </row>
    <row r="114" spans="2:11" x14ac:dyDescent="0.2">
      <c r="B114" s="358"/>
      <c r="C114" s="1513"/>
      <c r="D114" s="1513"/>
      <c r="E114" s="1513"/>
      <c r="F114" s="1513"/>
      <c r="G114" s="1513"/>
      <c r="H114" s="1513"/>
      <c r="I114" s="1513"/>
    </row>
    <row r="115" spans="2:11" x14ac:dyDescent="0.2">
      <c r="B115" s="358"/>
      <c r="C115" s="1540" t="s">
        <v>513</v>
      </c>
      <c r="D115" s="353">
        <v>2</v>
      </c>
      <c r="E115" s="1539" t="s">
        <v>236</v>
      </c>
      <c r="F115" s="1513"/>
      <c r="G115" s="1513"/>
      <c r="H115" s="1513"/>
      <c r="I115" s="1513"/>
    </row>
    <row r="116" spans="2:11" x14ac:dyDescent="0.2">
      <c r="B116" s="358"/>
      <c r="C116" s="1513"/>
      <c r="D116" s="1513"/>
      <c r="E116" s="1513"/>
      <c r="F116" s="1513"/>
      <c r="G116" s="1513"/>
      <c r="H116" s="1513"/>
      <c r="I116" s="1513"/>
    </row>
    <row r="117" spans="2:11" x14ac:dyDescent="0.2">
      <c r="B117" s="358" t="str">
        <f>ORÇ!A160</f>
        <v>11.2.17</v>
      </c>
      <c r="C117" s="1979" t="str">
        <f>ORÇ!D160</f>
        <v>Bucha e arruela de alumínio de   1 1/4"</v>
      </c>
      <c r="D117" s="1979"/>
      <c r="E117" s="1979"/>
      <c r="F117" s="1979"/>
      <c r="G117" s="1979"/>
      <c r="H117" s="1979"/>
      <c r="I117" s="1979"/>
    </row>
    <row r="118" spans="2:11" x14ac:dyDescent="0.2">
      <c r="B118" s="358"/>
      <c r="C118" s="1513"/>
      <c r="D118" s="1513"/>
      <c r="E118" s="1513"/>
      <c r="F118" s="1513"/>
      <c r="G118" s="1513"/>
      <c r="H118" s="1513"/>
      <c r="I118" s="1513"/>
    </row>
    <row r="119" spans="2:11" x14ac:dyDescent="0.2">
      <c r="B119" s="358"/>
      <c r="C119" s="1540" t="s">
        <v>513</v>
      </c>
      <c r="D119" s="353">
        <v>4</v>
      </c>
      <c r="E119" s="1539" t="s">
        <v>236</v>
      </c>
      <c r="F119" s="1513"/>
      <c r="G119" s="1513"/>
      <c r="H119" s="1513"/>
      <c r="I119" s="1513"/>
    </row>
    <row r="120" spans="2:11" x14ac:dyDescent="0.2">
      <c r="B120" s="358"/>
      <c r="C120" s="1513"/>
      <c r="D120" s="1513"/>
      <c r="E120" s="1513"/>
      <c r="F120" s="1513"/>
      <c r="G120" s="1513"/>
      <c r="H120" s="1513"/>
      <c r="I120" s="1513"/>
    </row>
    <row r="121" spans="2:11" s="1409" customFormat="1" x14ac:dyDescent="0.2">
      <c r="B121" s="358" t="str">
        <f>ORÇ!A161</f>
        <v>11.2.18</v>
      </c>
      <c r="C121" s="1978" t="str">
        <f>ORÇ!D161</f>
        <v>CABO DE COBRE FLEXÍVEL ISOLADO, 70 MM², ANTI-CHAMA 0,6/1,0 KV, PARA REDE ENTERRADA DE DISTRIBUIÇÃO DE ENERGIA ELÉTRICA - FORNECIMENTO E INSTALAÇÃO. AF_12/2021</v>
      </c>
      <c r="D121" s="1978"/>
      <c r="E121" s="1978"/>
      <c r="F121" s="1978"/>
      <c r="G121" s="1978"/>
      <c r="H121" s="1978"/>
      <c r="I121" s="1978"/>
      <c r="J121" s="1978"/>
      <c r="K121" s="1978"/>
    </row>
    <row r="122" spans="2:11" x14ac:dyDescent="0.2">
      <c r="B122" s="358"/>
      <c r="C122" s="1513"/>
      <c r="D122" s="1513"/>
      <c r="E122" s="1513"/>
      <c r="F122" s="1513"/>
      <c r="G122" s="1513"/>
      <c r="H122" s="1513"/>
      <c r="I122" s="1513"/>
    </row>
    <row r="123" spans="2:11" x14ac:dyDescent="0.2">
      <c r="B123" s="358"/>
      <c r="C123" s="1540" t="s">
        <v>513</v>
      </c>
      <c r="D123" s="353">
        <v>30</v>
      </c>
      <c r="E123" s="1539" t="s">
        <v>214</v>
      </c>
      <c r="F123" s="1513"/>
      <c r="G123" s="1513"/>
      <c r="H123" s="1513"/>
      <c r="I123" s="1513"/>
    </row>
    <row r="124" spans="2:11" x14ac:dyDescent="0.2">
      <c r="B124" s="358"/>
      <c r="C124" s="1513"/>
      <c r="D124" s="1513"/>
      <c r="E124" s="1513"/>
      <c r="F124" s="1513"/>
      <c r="G124" s="1513"/>
      <c r="H124" s="1513"/>
      <c r="I124" s="1513"/>
    </row>
    <row r="125" spans="2:11" x14ac:dyDescent="0.2">
      <c r="B125" s="358" t="str">
        <f>ORÇ!A162</f>
        <v>11.2.19</v>
      </c>
      <c r="C125" s="1978" t="str">
        <f>ORÇ!D162</f>
        <v>CABO DE COBRE FLEXÍVEL ISOLADO, 35 MM², ANTI-CHAMA 0,6/1,0 KV, PARA REDE ENTERRADA DE DISTRIBUIÇÃO DE ENERGIA ELÉTRICA - FORNECIMENTO E INSTALAÇÃO. AF_12/2021</v>
      </c>
      <c r="D125" s="1978"/>
      <c r="E125" s="1978"/>
      <c r="F125" s="1978"/>
      <c r="G125" s="1978"/>
      <c r="H125" s="1978"/>
      <c r="I125" s="1978"/>
      <c r="J125" s="1978"/>
      <c r="K125" s="1978"/>
    </row>
    <row r="126" spans="2:11" x14ac:dyDescent="0.2">
      <c r="B126" s="358"/>
      <c r="C126" s="1513"/>
      <c r="D126" s="1513"/>
      <c r="E126" s="1513"/>
      <c r="F126" s="1513"/>
      <c r="G126" s="1513"/>
      <c r="H126" s="1513"/>
      <c r="I126" s="1513"/>
    </row>
    <row r="127" spans="2:11" x14ac:dyDescent="0.2">
      <c r="B127" s="358"/>
      <c r="C127" s="1540" t="s">
        <v>513</v>
      </c>
      <c r="D127" s="353">
        <v>10</v>
      </c>
      <c r="E127" s="1539" t="s">
        <v>214</v>
      </c>
      <c r="F127" s="1513"/>
      <c r="G127" s="1513"/>
      <c r="H127" s="1513"/>
      <c r="I127" s="1513"/>
    </row>
    <row r="128" spans="2:11" x14ac:dyDescent="0.2">
      <c r="B128" s="358"/>
      <c r="C128" s="1513"/>
      <c r="D128" s="1513"/>
      <c r="E128" s="1513"/>
      <c r="F128" s="1513"/>
      <c r="G128" s="1513"/>
      <c r="H128" s="1513"/>
      <c r="I128" s="1513"/>
    </row>
    <row r="129" spans="2:9" x14ac:dyDescent="0.2">
      <c r="B129" s="358" t="str">
        <f>ORÇ!A163</f>
        <v>11.2.20</v>
      </c>
      <c r="C129" s="1979" t="str">
        <f>ORÇ!D163</f>
        <v>CABO DE COBRE FLEXÍVEL ISOLADO, 16 MM², ANTI-CHAMA 0,6/1,0 KV, PARA DISTRIBUIÇÃO - FORNECIMENTO E INSTALAÇÃO. AF_12/2015</v>
      </c>
      <c r="D129" s="1979"/>
      <c r="E129" s="1979"/>
      <c r="F129" s="1979"/>
      <c r="G129" s="1979"/>
      <c r="H129" s="1979"/>
      <c r="I129" s="1979"/>
    </row>
    <row r="130" spans="2:9" x14ac:dyDescent="0.2">
      <c r="B130" s="358"/>
      <c r="C130" s="1513"/>
      <c r="D130" s="1513"/>
      <c r="E130" s="1513"/>
      <c r="F130" s="1513"/>
      <c r="G130" s="1513"/>
      <c r="H130" s="1513"/>
      <c r="I130" s="1513"/>
    </row>
    <row r="131" spans="2:9" x14ac:dyDescent="0.2">
      <c r="B131" s="358"/>
      <c r="C131" s="1540" t="s">
        <v>513</v>
      </c>
      <c r="D131" s="353">
        <v>700</v>
      </c>
      <c r="E131" s="1539" t="s">
        <v>17</v>
      </c>
      <c r="F131" s="1513"/>
      <c r="G131" s="1513"/>
      <c r="H131" s="1513"/>
      <c r="I131" s="1513"/>
    </row>
    <row r="132" spans="2:9" x14ac:dyDescent="0.2">
      <c r="B132" s="358"/>
      <c r="C132" s="1513"/>
      <c r="D132" s="1513"/>
      <c r="E132" s="1513"/>
      <c r="F132" s="1513"/>
      <c r="G132" s="1513"/>
      <c r="H132" s="1513"/>
      <c r="I132" s="1513"/>
    </row>
    <row r="133" spans="2:9" x14ac:dyDescent="0.2">
      <c r="B133" s="358" t="str">
        <f>ORÇ!A164</f>
        <v>11.2.21</v>
      </c>
      <c r="C133" s="1978" t="str">
        <f>ORÇ!D164</f>
        <v>CABO DE COBRE FLEXÍVEL ISOLADO, 10 MM², ANTI-CHAMA 0,6/1,0 KV, PARA DISTRIBUIÇÃO - FORNECIMENTO E INSTALAÇÃO. AF_12/2015</v>
      </c>
      <c r="D133" s="1978"/>
      <c r="E133" s="1978"/>
      <c r="F133" s="1978"/>
      <c r="G133" s="1978"/>
      <c r="H133" s="1978"/>
      <c r="I133" s="1978"/>
    </row>
    <row r="134" spans="2:9" x14ac:dyDescent="0.2">
      <c r="B134" s="358"/>
      <c r="C134" s="1513"/>
      <c r="D134" s="1513"/>
      <c r="E134" s="1513"/>
      <c r="F134" s="1513"/>
      <c r="G134" s="1513"/>
      <c r="H134" s="1513"/>
      <c r="I134" s="1513"/>
    </row>
    <row r="135" spans="2:9" x14ac:dyDescent="0.2">
      <c r="B135" s="358"/>
      <c r="C135" s="1540" t="s">
        <v>513</v>
      </c>
      <c r="D135" s="353">
        <v>700</v>
      </c>
      <c r="E135" s="1539" t="s">
        <v>236</v>
      </c>
      <c r="F135" s="1513"/>
      <c r="G135" s="1513"/>
      <c r="H135" s="1513"/>
      <c r="I135" s="1513"/>
    </row>
    <row r="136" spans="2:9" x14ac:dyDescent="0.2">
      <c r="B136" s="358"/>
      <c r="C136" s="1513"/>
      <c r="D136" s="1513"/>
      <c r="E136" s="1513"/>
      <c r="F136" s="1513"/>
      <c r="G136" s="1513"/>
      <c r="H136" s="1513"/>
      <c r="I136" s="1513"/>
    </row>
    <row r="137" spans="2:9" x14ac:dyDescent="0.2">
      <c r="B137" s="358" t="str">
        <f>ORÇ!A165</f>
        <v>11.3</v>
      </c>
      <c r="C137" s="1978" t="str">
        <f>ORÇ!D165</f>
        <v>QGBT - Quadro Geral de Baixa Tensão</v>
      </c>
      <c r="D137" s="1978"/>
      <c r="E137" s="1978"/>
      <c r="F137" s="1978"/>
      <c r="G137" s="1978"/>
      <c r="H137" s="1978"/>
      <c r="I137" s="1978"/>
    </row>
    <row r="138" spans="2:9" x14ac:dyDescent="0.2">
      <c r="B138" s="358" t="str">
        <f>ORÇ!A166</f>
        <v>11.3.1</v>
      </c>
      <c r="C138" s="1979" t="str">
        <f>ORÇ!D166</f>
        <v>QUADRO DE COMANDO 1200X800X300MM IP55. FORNECIMENTO E INSTALAÇÃO.</v>
      </c>
      <c r="D138" s="1979"/>
      <c r="E138" s="1979"/>
      <c r="F138" s="1979"/>
      <c r="G138" s="1979"/>
      <c r="H138" s="1979"/>
      <c r="I138" s="1979"/>
    </row>
    <row r="139" spans="2:9" x14ac:dyDescent="0.2">
      <c r="B139" s="358"/>
      <c r="C139" s="1513"/>
      <c r="D139" s="1513"/>
      <c r="E139" s="1513"/>
      <c r="F139" s="1513"/>
      <c r="G139" s="1513"/>
      <c r="H139" s="1513"/>
      <c r="I139" s="1513"/>
    </row>
    <row r="140" spans="2:9" x14ac:dyDescent="0.2">
      <c r="B140" s="358"/>
      <c r="C140" s="1540" t="s">
        <v>513</v>
      </c>
      <c r="D140" s="353">
        <v>4</v>
      </c>
      <c r="E140" s="1539" t="s">
        <v>236</v>
      </c>
      <c r="F140" s="1513"/>
      <c r="G140" s="1513"/>
      <c r="H140" s="1513"/>
      <c r="I140" s="1513"/>
    </row>
    <row r="141" spans="2:9" x14ac:dyDescent="0.2">
      <c r="B141" s="358"/>
      <c r="C141" s="1513"/>
      <c r="D141" s="1513"/>
      <c r="E141" s="1513"/>
      <c r="F141" s="1513"/>
      <c r="G141" s="1513"/>
      <c r="H141" s="1513"/>
      <c r="I141" s="1513"/>
    </row>
    <row r="142" spans="2:9" s="1409" customFormat="1" x14ac:dyDescent="0.2">
      <c r="B142" s="358" t="str">
        <f>ORÇ!A167</f>
        <v>11.3.2</v>
      </c>
      <c r="C142" s="1978" t="str">
        <f>ORÇ!D167</f>
        <v>KIT BARRAMENTO TRIFÁSICO PARA 400A. FORNECIMENTO E INSTALAÇÃO.</v>
      </c>
      <c r="D142" s="1978"/>
      <c r="E142" s="1978"/>
      <c r="F142" s="1978"/>
      <c r="G142" s="1978"/>
      <c r="H142" s="1978"/>
      <c r="I142" s="1978"/>
    </row>
    <row r="143" spans="2:9" x14ac:dyDescent="0.2">
      <c r="B143" s="358"/>
      <c r="C143" s="1513"/>
      <c r="D143" s="1513"/>
      <c r="E143" s="1513"/>
      <c r="F143" s="1513"/>
      <c r="G143" s="1513"/>
      <c r="H143" s="1513"/>
      <c r="I143" s="1513"/>
    </row>
    <row r="144" spans="2:9" x14ac:dyDescent="0.2">
      <c r="B144" s="358"/>
      <c r="C144" s="1540" t="s">
        <v>513</v>
      </c>
      <c r="D144" s="353">
        <v>12</v>
      </c>
      <c r="E144" s="1539" t="s">
        <v>236</v>
      </c>
      <c r="F144" s="1513"/>
      <c r="G144" s="1513"/>
      <c r="H144" s="1513"/>
      <c r="I144" s="1513"/>
    </row>
    <row r="145" spans="2:11" x14ac:dyDescent="0.2">
      <c r="B145" s="358"/>
      <c r="C145" s="1513"/>
      <c r="D145" s="1513"/>
      <c r="E145" s="1513"/>
      <c r="F145" s="1513"/>
      <c r="G145" s="1513"/>
      <c r="H145" s="1513"/>
      <c r="I145" s="1513"/>
    </row>
    <row r="146" spans="2:11" s="1409" customFormat="1" x14ac:dyDescent="0.2">
      <c r="B146" s="358" t="str">
        <f>ORÇ!A168</f>
        <v>11.3.3</v>
      </c>
      <c r="C146" s="1978" t="str">
        <f>ORÇ!D168</f>
        <v>DISPOSITIVO DPS CLASSE II, 1 POLO, TENSÃO MÁXIMA DE 275 V, CORRENTE MÁXIMA DE *60* KA (TIPO AC) - FORNECIMENTO E INSTALAÇÃO</v>
      </c>
      <c r="D146" s="1978"/>
      <c r="E146" s="1978"/>
      <c r="F146" s="1978"/>
      <c r="G146" s="1978"/>
      <c r="H146" s="1978"/>
      <c r="I146" s="1978"/>
      <c r="J146" s="1978"/>
      <c r="K146" s="1978"/>
    </row>
    <row r="147" spans="2:11" x14ac:dyDescent="0.2">
      <c r="B147" s="358"/>
      <c r="C147" s="1513"/>
      <c r="D147" s="1513"/>
      <c r="E147" s="1513"/>
      <c r="F147" s="1513"/>
      <c r="G147" s="1513"/>
      <c r="H147" s="1513"/>
      <c r="I147" s="1513"/>
    </row>
    <row r="148" spans="2:11" x14ac:dyDescent="0.2">
      <c r="B148" s="358"/>
      <c r="C148" s="1540" t="s">
        <v>513</v>
      </c>
      <c r="D148" s="353">
        <v>4</v>
      </c>
      <c r="E148" s="1539" t="s">
        <v>236</v>
      </c>
      <c r="F148" s="1513"/>
      <c r="G148" s="1513"/>
      <c r="H148" s="1513"/>
      <c r="I148" s="1513"/>
    </row>
    <row r="149" spans="2:11" x14ac:dyDescent="0.2">
      <c r="B149" s="358"/>
      <c r="C149" s="1513"/>
      <c r="D149" s="1513"/>
      <c r="E149" s="1513"/>
      <c r="F149" s="1513"/>
      <c r="G149" s="1513"/>
      <c r="H149" s="1513"/>
      <c r="I149" s="1513"/>
    </row>
    <row r="150" spans="2:11" x14ac:dyDescent="0.2">
      <c r="B150" s="358" t="str">
        <f>ORÇ!A169</f>
        <v>11.3.4</v>
      </c>
      <c r="C150" s="1979" t="str">
        <f>ORÇ!D169</f>
        <v>DISJUNTOR TERMOMAGNÉTICO TRIPOLAR , CORRENTE NOMINAL DE 400A - FORNECIMENTO E INSTALAÇÃO. AF_10/2020</v>
      </c>
      <c r="D150" s="1979"/>
      <c r="E150" s="1979"/>
      <c r="F150" s="1979"/>
      <c r="G150" s="1979"/>
      <c r="H150" s="1979"/>
      <c r="I150" s="1979"/>
    </row>
    <row r="151" spans="2:11" x14ac:dyDescent="0.2">
      <c r="B151" s="358"/>
      <c r="C151" s="1513"/>
      <c r="D151" s="1513"/>
      <c r="E151" s="1513"/>
      <c r="F151" s="1513"/>
      <c r="G151" s="1513"/>
      <c r="H151" s="1513"/>
      <c r="I151" s="1513"/>
    </row>
    <row r="152" spans="2:11" x14ac:dyDescent="0.2">
      <c r="B152" s="358"/>
      <c r="C152" s="1540" t="s">
        <v>513</v>
      </c>
      <c r="D152" s="353">
        <v>1</v>
      </c>
      <c r="E152" s="1539" t="s">
        <v>236</v>
      </c>
      <c r="F152" s="1513"/>
      <c r="G152" s="1513"/>
      <c r="H152" s="1513"/>
      <c r="I152" s="1513"/>
    </row>
    <row r="153" spans="2:11" x14ac:dyDescent="0.2">
      <c r="B153" s="358"/>
      <c r="C153" s="1513"/>
      <c r="D153" s="1513"/>
      <c r="E153" s="1513"/>
      <c r="F153" s="1513"/>
      <c r="G153" s="1513"/>
      <c r="H153" s="1513"/>
      <c r="I153" s="1513"/>
    </row>
    <row r="154" spans="2:11" x14ac:dyDescent="0.2">
      <c r="B154" s="358"/>
      <c r="C154" s="1513"/>
      <c r="D154" s="1513"/>
      <c r="E154" s="1513"/>
      <c r="F154" s="1513"/>
      <c r="G154" s="1513"/>
      <c r="H154" s="1513"/>
      <c r="I154" s="1513"/>
    </row>
    <row r="155" spans="2:11" x14ac:dyDescent="0.2">
      <c r="B155" s="358" t="str">
        <f>ORÇ!A170</f>
        <v>11.3.5</v>
      </c>
      <c r="C155" s="1979" t="str">
        <f>ORÇ!D170</f>
        <v>DISJUNTOR TERMOMAGNÉTICO TRIPOLAR , CORRENTE NOMINAL DE 125A - FORNECIMENTO E INSTALAÇÃO. AF_10/2020</v>
      </c>
      <c r="D155" s="1979"/>
      <c r="E155" s="1979"/>
      <c r="F155" s="1979"/>
      <c r="G155" s="1979"/>
      <c r="H155" s="1979"/>
      <c r="I155" s="1979"/>
    </row>
    <row r="156" spans="2:11" x14ac:dyDescent="0.2">
      <c r="B156" s="358"/>
      <c r="C156" s="1513"/>
      <c r="D156" s="1513"/>
      <c r="E156" s="1513"/>
      <c r="F156" s="1513"/>
      <c r="G156" s="1513"/>
      <c r="H156" s="1513"/>
      <c r="I156" s="1513"/>
    </row>
    <row r="157" spans="2:11" x14ac:dyDescent="0.2">
      <c r="B157" s="358"/>
      <c r="C157" s="1540" t="s">
        <v>513</v>
      </c>
      <c r="D157" s="353">
        <v>1</v>
      </c>
      <c r="E157" s="1539" t="s">
        <v>236</v>
      </c>
      <c r="F157" s="1513"/>
      <c r="G157" s="1513"/>
      <c r="H157" s="1513"/>
      <c r="I157" s="1513"/>
    </row>
    <row r="158" spans="2:11" x14ac:dyDescent="0.2">
      <c r="B158" s="358"/>
      <c r="C158" s="1513"/>
      <c r="D158" s="1513"/>
      <c r="E158" s="1513"/>
      <c r="F158" s="1513"/>
      <c r="G158" s="1513"/>
      <c r="H158" s="1513"/>
      <c r="I158" s="1513"/>
    </row>
    <row r="159" spans="2:11" x14ac:dyDescent="0.2">
      <c r="B159" s="358" t="str">
        <f>ORÇ!A171</f>
        <v>11.3.6</v>
      </c>
      <c r="C159" s="1979" t="str">
        <f>ORÇ!D171</f>
        <v>Disjuntor 3P - 63 a 100A - PADRÃO DIN</v>
      </c>
      <c r="D159" s="1979"/>
      <c r="E159" s="1979"/>
      <c r="F159" s="1979"/>
      <c r="G159" s="1979"/>
      <c r="H159" s="1979"/>
      <c r="I159" s="1979"/>
    </row>
    <row r="160" spans="2:11" x14ac:dyDescent="0.2">
      <c r="C160" s="1513"/>
      <c r="D160" s="1513"/>
      <c r="E160" s="1513"/>
      <c r="F160" s="1513"/>
      <c r="G160" s="1513"/>
      <c r="H160" s="1513"/>
      <c r="I160" s="1513"/>
    </row>
    <row r="161" spans="2:11" x14ac:dyDescent="0.2">
      <c r="C161" s="1540" t="s">
        <v>513</v>
      </c>
      <c r="D161" s="353">
        <v>4</v>
      </c>
      <c r="E161" s="1539" t="s">
        <v>236</v>
      </c>
      <c r="F161" s="1513"/>
      <c r="G161" s="1513"/>
      <c r="H161" s="1513"/>
      <c r="I161" s="1513"/>
    </row>
    <row r="162" spans="2:11" x14ac:dyDescent="0.2">
      <c r="C162" s="1513"/>
      <c r="D162" s="1513"/>
      <c r="E162" s="1513"/>
      <c r="F162" s="1513"/>
      <c r="G162" s="1513"/>
      <c r="H162" s="1513"/>
      <c r="I162" s="1513"/>
    </row>
    <row r="163" spans="2:11" x14ac:dyDescent="0.2">
      <c r="B163" s="356" t="str">
        <f>ORÇ!A172</f>
        <v>11.3.7</v>
      </c>
      <c r="C163" s="359" t="str">
        <f>ORÇ!D172</f>
        <v>DISJUNTOR MONOPOLAR TIPO DIN, CORRENTE NOMINAL DE 32A - FORNECIMENTO E INSTALAÇÃO. AF_10/2020</v>
      </c>
    </row>
    <row r="164" spans="2:11" x14ac:dyDescent="0.2">
      <c r="C164" s="359"/>
    </row>
    <row r="165" spans="2:11" x14ac:dyDescent="0.2">
      <c r="C165" s="1540" t="s">
        <v>317</v>
      </c>
      <c r="D165" s="353">
        <v>4</v>
      </c>
      <c r="E165" s="1539" t="s">
        <v>236</v>
      </c>
    </row>
    <row r="166" spans="2:11" x14ac:dyDescent="0.2">
      <c r="C166" s="359"/>
    </row>
    <row r="167" spans="2:11" x14ac:dyDescent="0.2">
      <c r="B167" s="356" t="str">
        <f>ORÇ!A173</f>
        <v>11.4</v>
      </c>
      <c r="C167" s="359" t="str">
        <f>ORÇ!D173</f>
        <v>QDLF-1 - Quadro de Distribuição e Força 1</v>
      </c>
    </row>
    <row r="168" spans="2:11" s="1409" customFormat="1" x14ac:dyDescent="0.2">
      <c r="B168" s="358" t="str">
        <f>ORÇ!A174</f>
        <v>11.4.1</v>
      </c>
      <c r="C168" s="1978" t="str">
        <f>ORÇ!D174</f>
        <v>QUADRO DE DISTRIBUIÇÃO DE ENERGIA EM CHAPA DE AÇO GALVANIZADO, DE EMBUTIR, COM BARRAMENTO TRIFÁSICO, PARA 24 DISJUNTORES DIN 100A - FORNECIMENTO E INSTALAÇÃO. AF_10/2020</v>
      </c>
      <c r="D168" s="1978"/>
      <c r="E168" s="1978"/>
      <c r="F168" s="1978"/>
      <c r="G168" s="1978"/>
      <c r="H168" s="1978"/>
      <c r="I168" s="1978"/>
      <c r="J168" s="1978"/>
      <c r="K168" s="1978"/>
    </row>
    <row r="169" spans="2:11" x14ac:dyDescent="0.2">
      <c r="B169" s="356"/>
      <c r="C169" s="359"/>
    </row>
    <row r="170" spans="2:11" x14ac:dyDescent="0.2">
      <c r="B170" s="356"/>
      <c r="C170" s="1540" t="s">
        <v>317</v>
      </c>
      <c r="D170" s="353">
        <v>1</v>
      </c>
      <c r="E170" s="1539" t="s">
        <v>236</v>
      </c>
    </row>
    <row r="171" spans="2:11" x14ac:dyDescent="0.2">
      <c r="B171" s="356"/>
      <c r="C171" s="359"/>
    </row>
    <row r="172" spans="2:11" x14ac:dyDescent="0.2">
      <c r="B172" s="356" t="str">
        <f>ORÇ!A175</f>
        <v>11.4.2</v>
      </c>
      <c r="C172" s="359" t="str">
        <f>ORÇ!D175</f>
        <v>Proteção contra surto Classe II,1P,20KA,175V</v>
      </c>
    </row>
    <row r="173" spans="2:11" x14ac:dyDescent="0.2">
      <c r="B173" s="356"/>
      <c r="C173" s="359"/>
    </row>
    <row r="174" spans="2:11" x14ac:dyDescent="0.2">
      <c r="B174" s="356"/>
      <c r="C174" s="1540" t="s">
        <v>317</v>
      </c>
      <c r="D174" s="353">
        <v>4</v>
      </c>
      <c r="E174" s="1539" t="s">
        <v>236</v>
      </c>
    </row>
    <row r="175" spans="2:11" x14ac:dyDescent="0.2">
      <c r="B175" s="356"/>
      <c r="C175" s="359"/>
    </row>
    <row r="176" spans="2:11" x14ac:dyDescent="0.2">
      <c r="B176" s="356" t="str">
        <f>ORÇ!A176</f>
        <v>11.4.3</v>
      </c>
      <c r="C176" s="359" t="str">
        <f>ORÇ!D176</f>
        <v>Disjuntor 3P - 63 a 100A - PADRÃO DIN</v>
      </c>
    </row>
    <row r="177" spans="2:11" x14ac:dyDescent="0.2">
      <c r="B177" s="356"/>
      <c r="C177" s="359"/>
    </row>
    <row r="178" spans="2:11" x14ac:dyDescent="0.2">
      <c r="B178" s="356"/>
      <c r="C178" s="1540" t="s">
        <v>317</v>
      </c>
      <c r="D178" s="353">
        <v>1</v>
      </c>
      <c r="E178" s="1539" t="s">
        <v>236</v>
      </c>
    </row>
    <row r="179" spans="2:11" x14ac:dyDescent="0.2">
      <c r="B179" s="356"/>
      <c r="C179" s="359"/>
    </row>
    <row r="180" spans="2:11" x14ac:dyDescent="0.2">
      <c r="B180" s="356" t="str">
        <f>ORÇ!A177</f>
        <v>11.4.4</v>
      </c>
      <c r="C180" s="359" t="str">
        <f>ORÇ!D177</f>
        <v>DISJUNTOR MONOPOLAR TIPO DIN, CORRENTE NOMINAL DE 16A - FORNECIMENTO E INSTALAÇÃO. AF_10/2020</v>
      </c>
    </row>
    <row r="181" spans="2:11" x14ac:dyDescent="0.2">
      <c r="B181" s="356"/>
      <c r="C181" s="359"/>
    </row>
    <row r="182" spans="2:11" x14ac:dyDescent="0.2">
      <c r="B182" s="356"/>
      <c r="C182" s="1540" t="s">
        <v>317</v>
      </c>
      <c r="D182" s="353">
        <v>24</v>
      </c>
      <c r="E182" s="1539" t="s">
        <v>236</v>
      </c>
    </row>
    <row r="183" spans="2:11" x14ac:dyDescent="0.2">
      <c r="B183" s="356"/>
      <c r="C183" s="359"/>
    </row>
    <row r="184" spans="2:11" x14ac:dyDescent="0.2">
      <c r="B184" s="356" t="str">
        <f>ORÇ!A178</f>
        <v>11.5</v>
      </c>
      <c r="C184" s="359" t="str">
        <f>ORÇ!D178</f>
        <v>QDLF-2 - Quadro de Distribuição e Força 2</v>
      </c>
    </row>
    <row r="185" spans="2:11" s="1409" customFormat="1" x14ac:dyDescent="0.2">
      <c r="B185" s="358" t="str">
        <f>ORÇ!A179</f>
        <v>11.5.1</v>
      </c>
      <c r="C185" s="1978" t="str">
        <f>ORÇ!D179</f>
        <v>QUADRO DE DISTRIBUIÇÃO DE ENERGIA EM CHAPA DE AÇO GALVANIZADO, DE EMBUTIR, COM BARRAMENTO TRIFÁSICO, PARA 24 DISJUNTORES DIN 100A - FORNECIMENTO E INSTALAÇÃO. AF_10/2020</v>
      </c>
      <c r="D185" s="1978"/>
      <c r="E185" s="1978"/>
      <c r="F185" s="1978"/>
      <c r="G185" s="1978"/>
      <c r="H185" s="1978"/>
      <c r="I185" s="1978"/>
      <c r="J185" s="1978"/>
      <c r="K185" s="1978"/>
    </row>
    <row r="186" spans="2:11" x14ac:dyDescent="0.2">
      <c r="B186" s="356"/>
      <c r="C186" s="359"/>
    </row>
    <row r="187" spans="2:11" x14ac:dyDescent="0.2">
      <c r="B187" s="356"/>
      <c r="C187" s="1540" t="s">
        <v>317</v>
      </c>
      <c r="D187" s="353">
        <v>1</v>
      </c>
      <c r="E187" s="1539" t="s">
        <v>236</v>
      </c>
    </row>
    <row r="188" spans="2:11" x14ac:dyDescent="0.2">
      <c r="B188" s="356"/>
      <c r="C188" s="359"/>
    </row>
    <row r="189" spans="2:11" x14ac:dyDescent="0.2">
      <c r="B189" s="356" t="str">
        <f>ORÇ!A180</f>
        <v>11.5.2</v>
      </c>
      <c r="C189" s="359" t="str">
        <f>ORÇ!D180</f>
        <v>Proteção contra surto Classe II,1P,20KA,175V</v>
      </c>
    </row>
    <row r="190" spans="2:11" x14ac:dyDescent="0.2">
      <c r="B190" s="356"/>
      <c r="C190" s="359"/>
    </row>
    <row r="191" spans="2:11" x14ac:dyDescent="0.2">
      <c r="B191" s="356"/>
      <c r="C191" s="1540" t="s">
        <v>317</v>
      </c>
      <c r="D191" s="353">
        <v>4</v>
      </c>
      <c r="E191" s="1539" t="s">
        <v>236</v>
      </c>
    </row>
    <row r="192" spans="2:11" x14ac:dyDescent="0.2">
      <c r="B192" s="356"/>
      <c r="C192" s="359"/>
    </row>
    <row r="193" spans="2:11" x14ac:dyDescent="0.2">
      <c r="B193" s="356" t="str">
        <f>ORÇ!A181</f>
        <v>11.5.3</v>
      </c>
      <c r="C193" s="359" t="str">
        <f>ORÇ!D181</f>
        <v>Disjuntor 3P - 63 a 100A - PADRÃO DIN</v>
      </c>
    </row>
    <row r="194" spans="2:11" x14ac:dyDescent="0.2">
      <c r="B194" s="356"/>
      <c r="C194" s="359"/>
    </row>
    <row r="195" spans="2:11" x14ac:dyDescent="0.2">
      <c r="B195" s="356"/>
      <c r="C195" s="1540" t="s">
        <v>317</v>
      </c>
      <c r="D195" s="353">
        <v>1</v>
      </c>
      <c r="E195" s="1539" t="s">
        <v>236</v>
      </c>
    </row>
    <row r="196" spans="2:11" x14ac:dyDescent="0.2">
      <c r="B196" s="356"/>
      <c r="C196" s="359"/>
    </row>
    <row r="197" spans="2:11" x14ac:dyDescent="0.2">
      <c r="B197" s="356" t="str">
        <f>ORÇ!A182</f>
        <v>11.5.4</v>
      </c>
      <c r="C197" s="359" t="str">
        <f>ORÇ!D182</f>
        <v>DISJUNTOR MONOPOLAR TIPO DIN, CORRENTE NOMINAL DE 16A - FORNECIMENTO E INSTALAÇÃO. AF_10/2020</v>
      </c>
    </row>
    <row r="198" spans="2:11" x14ac:dyDescent="0.2">
      <c r="B198" s="356"/>
      <c r="C198" s="359"/>
    </row>
    <row r="199" spans="2:11" x14ac:dyDescent="0.2">
      <c r="B199" s="356"/>
      <c r="C199" s="1540" t="s">
        <v>317</v>
      </c>
      <c r="D199" s="353">
        <v>24</v>
      </c>
      <c r="E199" s="1539" t="s">
        <v>236</v>
      </c>
    </row>
    <row r="200" spans="2:11" x14ac:dyDescent="0.2">
      <c r="B200" s="356"/>
      <c r="C200" s="359"/>
    </row>
    <row r="201" spans="2:11" x14ac:dyDescent="0.2">
      <c r="B201" s="356" t="str">
        <f>ORÇ!A183</f>
        <v>11.6</v>
      </c>
      <c r="C201" s="359" t="str">
        <f>ORÇ!D183</f>
        <v>QDT-1 - Quadro de Distribuição de Tomadas 1</v>
      </c>
    </row>
    <row r="202" spans="2:11" s="1409" customFormat="1" x14ac:dyDescent="0.2">
      <c r="B202" s="358" t="str">
        <f>ORÇ!A184</f>
        <v>11.6.1</v>
      </c>
      <c r="C202" s="1978" t="str">
        <f>ORÇ!D184</f>
        <v>QUADRO DE DISTRIBUIÇÃO DE ENERGIA EM CHAPA DE AÇO GALVANIZADO, DE EMBUTIR, COM BARRAMENTO TRIFÁSICO, PARA 24 DISJUNTORES DIN 100A - FORNECIMENTO E INSTALAÇÃO. AF_10/2020</v>
      </c>
      <c r="D202" s="1978"/>
      <c r="E202" s="1978"/>
      <c r="F202" s="1978"/>
      <c r="G202" s="1978"/>
      <c r="H202" s="1978"/>
      <c r="I202" s="1978"/>
      <c r="J202" s="1978"/>
      <c r="K202" s="1978"/>
    </row>
    <row r="203" spans="2:11" x14ac:dyDescent="0.2">
      <c r="B203" s="356"/>
      <c r="C203" s="359"/>
    </row>
    <row r="204" spans="2:11" x14ac:dyDescent="0.2">
      <c r="B204" s="356"/>
      <c r="C204" s="1540" t="s">
        <v>317</v>
      </c>
      <c r="D204" s="353">
        <v>1</v>
      </c>
      <c r="E204" s="1539" t="s">
        <v>236</v>
      </c>
    </row>
    <row r="205" spans="2:11" x14ac:dyDescent="0.2">
      <c r="B205" s="356"/>
      <c r="C205" s="359"/>
    </row>
    <row r="206" spans="2:11" x14ac:dyDescent="0.2">
      <c r="B206" s="356" t="str">
        <f>ORÇ!A185</f>
        <v>11.6.2</v>
      </c>
      <c r="C206" s="359" t="str">
        <f>ORÇ!D185</f>
        <v>Proteção contra surto Classe II,1P,20KA,175V</v>
      </c>
    </row>
    <row r="207" spans="2:11" x14ac:dyDescent="0.2">
      <c r="B207" s="356"/>
      <c r="C207" s="359"/>
    </row>
    <row r="208" spans="2:11" x14ac:dyDescent="0.2">
      <c r="B208" s="356"/>
      <c r="C208" s="1540" t="s">
        <v>317</v>
      </c>
      <c r="D208" s="353">
        <v>4</v>
      </c>
      <c r="E208" s="1539" t="s">
        <v>236</v>
      </c>
    </row>
    <row r="209" spans="2:11" x14ac:dyDescent="0.2">
      <c r="B209" s="356"/>
      <c r="C209" s="359"/>
    </row>
    <row r="210" spans="2:11" x14ac:dyDescent="0.2">
      <c r="B210" s="356" t="str">
        <f>ORÇ!A186</f>
        <v>11.6.3</v>
      </c>
      <c r="C210" s="359" t="str">
        <f>ORÇ!D186</f>
        <v>Disjuntor 3P - 63 a 100A - PADRÃO DIN</v>
      </c>
    </row>
    <row r="211" spans="2:11" x14ac:dyDescent="0.2">
      <c r="B211" s="356"/>
      <c r="C211" s="359"/>
    </row>
    <row r="212" spans="2:11" x14ac:dyDescent="0.2">
      <c r="B212" s="356"/>
      <c r="C212" s="1540" t="s">
        <v>317</v>
      </c>
      <c r="D212" s="353">
        <v>1</v>
      </c>
      <c r="E212" s="1539" t="s">
        <v>236</v>
      </c>
    </row>
    <row r="213" spans="2:11" x14ac:dyDescent="0.2">
      <c r="B213" s="356"/>
      <c r="C213" s="359"/>
    </row>
    <row r="214" spans="2:11" x14ac:dyDescent="0.2">
      <c r="B214" s="356" t="str">
        <f>ORÇ!A187</f>
        <v>11.6.4</v>
      </c>
      <c r="C214" s="359" t="str">
        <f>ORÇ!D187</f>
        <v>DISJUNTOR MONOPOLAR TIPO DIN, CORRENTE NOMINAL DE 16A - FORNECIMENTO E INSTALAÇÃO. AF_10/2020</v>
      </c>
    </row>
    <row r="215" spans="2:11" x14ac:dyDescent="0.2">
      <c r="B215" s="356"/>
      <c r="C215" s="359"/>
    </row>
    <row r="216" spans="2:11" x14ac:dyDescent="0.2">
      <c r="B216" s="356"/>
      <c r="C216" s="1540" t="s">
        <v>317</v>
      </c>
      <c r="D216" s="353">
        <v>24</v>
      </c>
      <c r="E216" s="1539" t="s">
        <v>236</v>
      </c>
    </row>
    <row r="217" spans="2:11" x14ac:dyDescent="0.2">
      <c r="B217" s="356"/>
      <c r="C217" s="359"/>
    </row>
    <row r="218" spans="2:11" x14ac:dyDescent="0.2">
      <c r="B218" s="356" t="str">
        <f>ORÇ!A188</f>
        <v>11.7</v>
      </c>
      <c r="C218" s="359" t="str">
        <f>ORÇ!D188</f>
        <v>QDT-2 - Quadro de Distribuição de Tomadas 2</v>
      </c>
    </row>
    <row r="219" spans="2:11" s="1409" customFormat="1" x14ac:dyDescent="0.2">
      <c r="B219" s="358" t="str">
        <f>ORÇ!A189</f>
        <v>11.7.1</v>
      </c>
      <c r="C219" s="1978" t="str">
        <f>ORÇ!D189</f>
        <v>QUADRO DE DISTRIBUIÇÃO DE ENERGIA EM CHAPA DE AÇO GALVANIZADO, DE EMBUTIR, COM BARRAMENTO TRIFÁSICO, PARA 24 DISJUNTORES DIN 100A - FORNECIMENTO E INSTALAÇÃO. AF_10/2020</v>
      </c>
      <c r="D219" s="1978"/>
      <c r="E219" s="1978"/>
      <c r="F219" s="1978"/>
      <c r="G219" s="1978"/>
      <c r="H219" s="1978"/>
      <c r="I219" s="1978"/>
      <c r="J219" s="1978"/>
      <c r="K219" s="1978"/>
    </row>
    <row r="220" spans="2:11" x14ac:dyDescent="0.2">
      <c r="B220" s="356"/>
      <c r="C220" s="359"/>
    </row>
    <row r="221" spans="2:11" x14ac:dyDescent="0.2">
      <c r="B221" s="356"/>
      <c r="C221" s="1540" t="s">
        <v>317</v>
      </c>
      <c r="D221" s="353">
        <v>1</v>
      </c>
      <c r="E221" s="1539" t="s">
        <v>236</v>
      </c>
    </row>
    <row r="222" spans="2:11" x14ac:dyDescent="0.2">
      <c r="B222" s="356"/>
      <c r="C222" s="359"/>
    </row>
    <row r="223" spans="2:11" x14ac:dyDescent="0.2">
      <c r="B223" s="356" t="str">
        <f>ORÇ!A190</f>
        <v>11.7.2</v>
      </c>
      <c r="C223" s="359" t="str">
        <f>ORÇ!D190</f>
        <v>Proteção contra surto Classe II,1P,20KA,175V</v>
      </c>
    </row>
    <row r="224" spans="2:11" x14ac:dyDescent="0.2">
      <c r="B224" s="356"/>
      <c r="C224" s="359"/>
    </row>
    <row r="225" spans="2:11" x14ac:dyDescent="0.2">
      <c r="B225" s="356"/>
      <c r="C225" s="1540" t="s">
        <v>317</v>
      </c>
      <c r="D225" s="353">
        <v>4</v>
      </c>
      <c r="E225" s="1539" t="s">
        <v>236</v>
      </c>
    </row>
    <row r="226" spans="2:11" x14ac:dyDescent="0.2">
      <c r="B226" s="356"/>
      <c r="C226" s="359"/>
    </row>
    <row r="227" spans="2:11" x14ac:dyDescent="0.2">
      <c r="B227" s="356" t="str">
        <f>ORÇ!A191</f>
        <v>11.7.3</v>
      </c>
      <c r="C227" s="359" t="str">
        <f>ORÇ!D191</f>
        <v>Disjuntor 3P - 63 a 100A - PADRÃO DIN</v>
      </c>
    </row>
    <row r="228" spans="2:11" x14ac:dyDescent="0.2">
      <c r="B228" s="356"/>
      <c r="C228" s="359"/>
    </row>
    <row r="229" spans="2:11" x14ac:dyDescent="0.2">
      <c r="B229" s="356"/>
      <c r="C229" s="1540" t="s">
        <v>317</v>
      </c>
      <c r="D229" s="353">
        <v>1</v>
      </c>
      <c r="E229" s="1539" t="s">
        <v>236</v>
      </c>
    </row>
    <row r="230" spans="2:11" x14ac:dyDescent="0.2">
      <c r="B230" s="356"/>
      <c r="C230" s="1545"/>
      <c r="D230" s="1545"/>
      <c r="E230" s="1545"/>
    </row>
    <row r="231" spans="2:11" x14ac:dyDescent="0.2">
      <c r="B231" s="356" t="str">
        <f>ORÇ!A192</f>
        <v>11.7.4</v>
      </c>
      <c r="C231" s="359" t="str">
        <f>ORÇ!D192</f>
        <v>DISJUNTOR MONOPOLAR TIPO DIN, CORRENTE NOMINAL DE 16A - FORNECIMENTO E INSTALAÇÃO. AF_10/2020</v>
      </c>
    </row>
    <row r="232" spans="2:11" x14ac:dyDescent="0.2">
      <c r="B232" s="356"/>
      <c r="C232" s="359"/>
    </row>
    <row r="233" spans="2:11" x14ac:dyDescent="0.2">
      <c r="B233" s="356"/>
      <c r="C233" s="1540" t="s">
        <v>317</v>
      </c>
      <c r="D233" s="353">
        <v>24</v>
      </c>
      <c r="E233" s="1539" t="s">
        <v>236</v>
      </c>
    </row>
    <row r="234" spans="2:11" x14ac:dyDescent="0.2">
      <c r="B234" s="356"/>
      <c r="C234" s="359"/>
    </row>
    <row r="235" spans="2:11" s="1409" customFormat="1" x14ac:dyDescent="0.2">
      <c r="B235" s="358" t="str">
        <f>ORÇ!A193</f>
        <v>11.8</v>
      </c>
      <c r="C235" s="1541" t="str">
        <f>ORÇ!D193</f>
        <v>QDAC - Quadro de Distribuição de Ar Condicionado</v>
      </c>
    </row>
    <row r="236" spans="2:11" s="1409" customFormat="1" x14ac:dyDescent="0.2">
      <c r="B236" s="358" t="str">
        <f>ORÇ!A194</f>
        <v>11.8.1</v>
      </c>
      <c r="C236" s="1978" t="str">
        <f>ORÇ!D194</f>
        <v>QUADRO DE DISTRIBUIÇÃO DE ENERGIA EM CHAPA DE AÇO GALVANIZADO, DE EMBUTIR, COM BARRAMENTO TRIFÁSICO, PARA 30 DISJUNTORES DIN 150A - FORNECIMENTO E INSTALAÇÃO. AF_10/2020</v>
      </c>
      <c r="D236" s="1978"/>
      <c r="E236" s="1978"/>
      <c r="F236" s="1978"/>
      <c r="G236" s="1978"/>
      <c r="H236" s="1978"/>
      <c r="I236" s="1978"/>
      <c r="J236" s="1978"/>
      <c r="K236" s="1978"/>
    </row>
    <row r="237" spans="2:11" x14ac:dyDescent="0.2">
      <c r="B237" s="356"/>
      <c r="C237" s="359"/>
    </row>
    <row r="238" spans="2:11" x14ac:dyDescent="0.2">
      <c r="B238" s="356"/>
      <c r="C238" s="1540" t="s">
        <v>317</v>
      </c>
      <c r="D238" s="353">
        <v>1</v>
      </c>
      <c r="E238" s="1539" t="s">
        <v>236</v>
      </c>
    </row>
    <row r="239" spans="2:11" x14ac:dyDescent="0.2">
      <c r="B239" s="356"/>
      <c r="C239" s="359"/>
    </row>
    <row r="240" spans="2:11" s="1409" customFormat="1" x14ac:dyDescent="0.2">
      <c r="B240" s="358" t="str">
        <f>ORÇ!A195</f>
        <v>11.8.2</v>
      </c>
      <c r="C240" s="1978" t="str">
        <f>ORÇ!D195</f>
        <v>Proteção contra surto Classe II,1P,20KA,175V</v>
      </c>
      <c r="D240" s="1978"/>
      <c r="E240" s="1978"/>
      <c r="F240" s="1978"/>
      <c r="G240" s="1978"/>
      <c r="H240" s="1978"/>
      <c r="I240" s="1978"/>
      <c r="J240" s="1978"/>
      <c r="K240" s="1978"/>
    </row>
    <row r="241" spans="2:5" x14ac:dyDescent="0.2">
      <c r="B241" s="356"/>
      <c r="C241" s="359"/>
    </row>
    <row r="242" spans="2:5" x14ac:dyDescent="0.2">
      <c r="B242" s="356"/>
      <c r="C242" s="1540" t="s">
        <v>317</v>
      </c>
      <c r="D242" s="353">
        <v>3</v>
      </c>
      <c r="E242" s="1539" t="s">
        <v>236</v>
      </c>
    </row>
    <row r="243" spans="2:5" x14ac:dyDescent="0.2">
      <c r="B243" s="356"/>
      <c r="C243" s="359"/>
    </row>
    <row r="244" spans="2:5" x14ac:dyDescent="0.2">
      <c r="B244" s="356" t="str">
        <f>ORÇ!A196</f>
        <v>11.8.3</v>
      </c>
      <c r="C244" s="359" t="str">
        <f>ORÇ!D196</f>
        <v>DISJUNTOR TERMOMAGNÉTICO TRIPOLAR , CORRENTE NOMINAL DE 125A - FORNECIMENTO E INSTALAÇÃO. AF_10/2020</v>
      </c>
    </row>
    <row r="245" spans="2:5" x14ac:dyDescent="0.2">
      <c r="B245" s="356"/>
      <c r="C245" s="359"/>
    </row>
    <row r="246" spans="2:5" x14ac:dyDescent="0.2">
      <c r="B246" s="356"/>
      <c r="C246" s="1540" t="s">
        <v>317</v>
      </c>
      <c r="D246" s="353">
        <v>1</v>
      </c>
      <c r="E246" s="1539" t="s">
        <v>236</v>
      </c>
    </row>
    <row r="247" spans="2:5" x14ac:dyDescent="0.2">
      <c r="B247" s="356"/>
      <c r="C247" s="359"/>
    </row>
    <row r="248" spans="2:5" x14ac:dyDescent="0.2">
      <c r="B248" s="356" t="str">
        <f>ORÇ!A197</f>
        <v>11.8.4</v>
      </c>
      <c r="C248" s="359" t="str">
        <f>ORÇ!D197</f>
        <v>DISJUNTOR BIPOLAR TIPO DIN, CORRENTE NOMINAL DE 25A - FORNECIMENTO E INSTALAÇÃO. AF_10/2020</v>
      </c>
    </row>
    <row r="249" spans="2:5" x14ac:dyDescent="0.2">
      <c r="B249" s="356"/>
      <c r="C249" s="359"/>
    </row>
    <row r="250" spans="2:5" x14ac:dyDescent="0.2">
      <c r="B250" s="356"/>
      <c r="C250" s="1540" t="s">
        <v>317</v>
      </c>
      <c r="D250" s="353">
        <v>15</v>
      </c>
      <c r="E250" s="1539" t="s">
        <v>236</v>
      </c>
    </row>
    <row r="251" spans="2:5" x14ac:dyDescent="0.2">
      <c r="B251" s="356"/>
      <c r="C251" s="359"/>
    </row>
    <row r="252" spans="2:5" x14ac:dyDescent="0.2">
      <c r="B252" s="356" t="str">
        <f>ORÇ!A198</f>
        <v>11.8.5</v>
      </c>
      <c r="C252" s="359" t="str">
        <f>ORÇ!D198</f>
        <v>DISJUNTOR BIPOLAR TIPO DIN, CORRENTE NOMINAL DE 20A - FORNECIMENTO E INSTALAÇÃO. AF_10/2020</v>
      </c>
    </row>
    <row r="253" spans="2:5" x14ac:dyDescent="0.2">
      <c r="B253" s="356"/>
      <c r="C253" s="359"/>
    </row>
    <row r="254" spans="2:5" x14ac:dyDescent="0.2">
      <c r="B254" s="356"/>
      <c r="C254" s="1540" t="s">
        <v>317</v>
      </c>
      <c r="D254" s="353">
        <v>15</v>
      </c>
      <c r="E254" s="1539" t="s">
        <v>236</v>
      </c>
    </row>
    <row r="255" spans="2:5" x14ac:dyDescent="0.2">
      <c r="B255" s="356"/>
      <c r="C255" s="359"/>
    </row>
    <row r="256" spans="2:5" x14ac:dyDescent="0.2">
      <c r="B256" s="356" t="str">
        <f>ORÇ!A199</f>
        <v>11.9</v>
      </c>
      <c r="C256" s="359" t="str">
        <f>ORÇ!D199</f>
        <v>Alimentadores de Máquinas de Ar Condicionado</v>
      </c>
    </row>
    <row r="257" spans="2:5" x14ac:dyDescent="0.2">
      <c r="B257" s="356" t="str">
        <f>ORÇ!A200</f>
        <v>11.9.1</v>
      </c>
      <c r="C257" s="359" t="str">
        <f>ORÇ!D200</f>
        <v>Eletrocalha de metal curve "U"perf. 50x50  - 3m</v>
      </c>
    </row>
    <row r="258" spans="2:5" x14ac:dyDescent="0.2">
      <c r="B258" s="356"/>
      <c r="C258" s="359"/>
    </row>
    <row r="259" spans="2:5" x14ac:dyDescent="0.2">
      <c r="B259" s="356"/>
      <c r="C259" s="1540" t="s">
        <v>317</v>
      </c>
      <c r="D259" s="353">
        <v>100</v>
      </c>
      <c r="E259" s="1539" t="s">
        <v>214</v>
      </c>
    </row>
    <row r="260" spans="2:5" x14ac:dyDescent="0.2">
      <c r="B260" s="356"/>
      <c r="C260" s="359"/>
    </row>
    <row r="261" spans="2:5" x14ac:dyDescent="0.2">
      <c r="B261" s="356" t="str">
        <f>ORÇ!A201</f>
        <v>11.9.2</v>
      </c>
      <c r="C261" s="359" t="str">
        <f>ORÇ!D201</f>
        <v>TAMPA DE ENCAIXE PARA ELETROCALHA 50mm CHAPA 24. FORNECIMENTO E INSTALAÇÃO.</v>
      </c>
    </row>
    <row r="262" spans="2:5" x14ac:dyDescent="0.2">
      <c r="B262" s="356"/>
      <c r="C262" s="359"/>
    </row>
    <row r="263" spans="2:5" x14ac:dyDescent="0.2">
      <c r="B263" s="356"/>
      <c r="C263" s="1540" t="s">
        <v>317</v>
      </c>
      <c r="D263" s="353">
        <v>100</v>
      </c>
      <c r="E263" s="1539" t="s">
        <v>214</v>
      </c>
    </row>
    <row r="264" spans="2:5" x14ac:dyDescent="0.2">
      <c r="B264" s="356"/>
      <c r="C264" s="359"/>
    </row>
    <row r="265" spans="2:5" x14ac:dyDescent="0.2">
      <c r="B265" s="356" t="str">
        <f>ORÇ!A202</f>
        <v>11.9.3</v>
      </c>
      <c r="C265" s="359" t="str">
        <f>ORÇ!D202</f>
        <v>ELETROCALHA - TERMINAL DE FECHAMENTO 50x50 CHAPA 20. FORNECIMENTO E INSTALAÇÃO.</v>
      </c>
    </row>
    <row r="266" spans="2:5" x14ac:dyDescent="0.2">
      <c r="B266" s="356"/>
      <c r="C266" s="359"/>
    </row>
    <row r="267" spans="2:5" x14ac:dyDescent="0.2">
      <c r="B267" s="356"/>
      <c r="C267" s="1540" t="s">
        <v>317</v>
      </c>
      <c r="D267" s="353">
        <v>3</v>
      </c>
      <c r="E267" s="1539" t="s">
        <v>236</v>
      </c>
    </row>
    <row r="268" spans="2:5" x14ac:dyDescent="0.2">
      <c r="B268" s="356"/>
      <c r="C268" s="359"/>
    </row>
    <row r="269" spans="2:5" x14ac:dyDescent="0.2">
      <c r="B269" s="356" t="str">
        <f>ORÇ!A203</f>
        <v>11.9.4</v>
      </c>
      <c r="C269" s="359" t="str">
        <f>ORÇ!D203</f>
        <v>EMENDA INTERNA PARA ELETROCALHA 50x50MM. FORNECIMENTO E INSTALAÇÃO.</v>
      </c>
    </row>
    <row r="270" spans="2:5" x14ac:dyDescent="0.2">
      <c r="B270" s="356"/>
      <c r="C270" s="359"/>
    </row>
    <row r="271" spans="2:5" x14ac:dyDescent="0.2">
      <c r="B271" s="356"/>
      <c r="C271" s="1540" t="s">
        <v>317</v>
      </c>
      <c r="D271" s="353">
        <v>84</v>
      </c>
      <c r="E271" s="1539" t="s">
        <v>236</v>
      </c>
    </row>
    <row r="272" spans="2:5" x14ac:dyDescent="0.2">
      <c r="B272" s="356"/>
      <c r="C272" s="359"/>
    </row>
    <row r="273" spans="2:11" x14ac:dyDescent="0.2">
      <c r="B273" s="356" t="str">
        <f>ORÇ!A204</f>
        <v>11.9.5</v>
      </c>
      <c r="C273" s="359" t="str">
        <f>ORÇ!D204</f>
        <v>CURVA DE INVERSAO PARA ELETROCALHA 0,50m. FORNECIMENTO E INSTALAÇÃO</v>
      </c>
    </row>
    <row r="274" spans="2:11" x14ac:dyDescent="0.2">
      <c r="B274" s="356"/>
      <c r="C274" s="359"/>
    </row>
    <row r="275" spans="2:11" x14ac:dyDescent="0.2">
      <c r="B275" s="356"/>
      <c r="C275" s="1540" t="s">
        <v>317</v>
      </c>
      <c r="D275" s="353">
        <v>1</v>
      </c>
      <c r="E275" s="1539" t="s">
        <v>236</v>
      </c>
    </row>
    <row r="276" spans="2:11" x14ac:dyDescent="0.2">
      <c r="B276" s="356"/>
      <c r="C276" s="359"/>
    </row>
    <row r="277" spans="2:11" x14ac:dyDescent="0.2">
      <c r="B277" s="356" t="str">
        <f>ORÇ!A205</f>
        <v>11.9.6</v>
      </c>
      <c r="C277" s="359" t="str">
        <f>ORÇ!D205</f>
        <v>CURVA HORIZONTAL 90 GRAUS PARA ELETROCALHA 50x50MM. FORNECIMENTO E INSTALAÇÕES.</v>
      </c>
    </row>
    <row r="278" spans="2:11" x14ac:dyDescent="0.2">
      <c r="B278" s="356"/>
      <c r="C278" s="359"/>
    </row>
    <row r="279" spans="2:11" x14ac:dyDescent="0.2">
      <c r="B279" s="356"/>
      <c r="C279" s="1540" t="s">
        <v>317</v>
      </c>
      <c r="D279" s="353">
        <v>2</v>
      </c>
      <c r="E279" s="1539" t="s">
        <v>236</v>
      </c>
    </row>
    <row r="280" spans="2:11" x14ac:dyDescent="0.2">
      <c r="B280" s="356"/>
      <c r="C280" s="359"/>
    </row>
    <row r="281" spans="2:11" x14ac:dyDescent="0.2">
      <c r="B281" s="356" t="str">
        <f>ORÇ!A206</f>
        <v>11.9.7</v>
      </c>
      <c r="C281" s="359" t="str">
        <f>ORÇ!D206</f>
        <v>ELETRODUTO RÍGIDO ROSCÁVEL, PVC, DN 25 MM (3/4"), PARA CIRCUITOS TERMINAIS, INSTALADO EM FORRO - FORNECIMENTO E INSTALAÇÃO. AF_12/2015</v>
      </c>
    </row>
    <row r="282" spans="2:11" x14ac:dyDescent="0.2">
      <c r="C282" s="359"/>
    </row>
    <row r="283" spans="2:11" x14ac:dyDescent="0.2">
      <c r="C283" s="1540" t="s">
        <v>317</v>
      </c>
      <c r="D283" s="353">
        <v>120</v>
      </c>
      <c r="E283" s="1539" t="s">
        <v>214</v>
      </c>
    </row>
    <row r="284" spans="2:11" x14ac:dyDescent="0.2">
      <c r="C284" s="359"/>
    </row>
    <row r="285" spans="2:11" s="1409" customFormat="1" x14ac:dyDescent="0.2">
      <c r="B285" s="358" t="str">
        <f>ORÇ!A207</f>
        <v>11.9.8</v>
      </c>
      <c r="C285" s="1978" t="str">
        <f>ORÇ!D207</f>
        <v>CURVA 90 GRAUS PARA ELETRODUTO, PVC, ROSCÁVEL, DN 25 MM (3/4"), PARA CIRCUITOS TERMINAIS, INSTALADA EM FORRO - FORNECIMENTO E INSTALAÇÃO. AF_12/2015</v>
      </c>
      <c r="D285" s="1978"/>
      <c r="E285" s="1978"/>
      <c r="F285" s="1978"/>
      <c r="G285" s="1978"/>
      <c r="H285" s="1978"/>
      <c r="I285" s="1978"/>
      <c r="J285" s="1978"/>
      <c r="K285" s="1978"/>
    </row>
    <row r="286" spans="2:11" s="1409" customFormat="1" x14ac:dyDescent="0.2">
      <c r="B286" s="358"/>
      <c r="C286" s="1514"/>
      <c r="D286" s="1514"/>
      <c r="E286" s="1514"/>
      <c r="F286" s="1514"/>
      <c r="G286" s="1514"/>
      <c r="H286" s="1514"/>
      <c r="I286" s="1514"/>
      <c r="J286" s="1514"/>
      <c r="K286" s="1514"/>
    </row>
    <row r="287" spans="2:11" s="1409" customFormat="1" x14ac:dyDescent="0.2">
      <c r="B287" s="358"/>
      <c r="C287" s="1544" t="s">
        <v>317</v>
      </c>
      <c r="D287" s="1543">
        <v>52</v>
      </c>
      <c r="E287" s="1542" t="s">
        <v>236</v>
      </c>
      <c r="F287" s="1514"/>
      <c r="G287" s="1514"/>
      <c r="H287" s="1514"/>
      <c r="I287" s="1514"/>
      <c r="J287" s="1514"/>
      <c r="K287" s="1514"/>
    </row>
    <row r="288" spans="2:11" x14ac:dyDescent="0.2">
      <c r="C288" s="1513"/>
      <c r="D288" s="1513"/>
      <c r="E288" s="1513"/>
      <c r="F288" s="1513"/>
      <c r="G288" s="1513"/>
      <c r="H288" s="1513"/>
      <c r="I288" s="1513"/>
      <c r="J288" s="1513"/>
      <c r="K288" s="1513"/>
    </row>
    <row r="289" spans="2:5" x14ac:dyDescent="0.2">
      <c r="B289" s="356" t="str">
        <f>ORÇ!A208</f>
        <v>11.9.9</v>
      </c>
      <c r="C289" s="359" t="str">
        <f>ORÇ!D208</f>
        <v>LUVA PARA ELETRODUTO, PVC, ROSCÁVEL, DN 25 MM (3/4"), PARA CIRCUITOS TERMINAIS, INSTALADA EM FORRO - FORNECIMENTO E INSTALAÇÃO. AF_12/2015</v>
      </c>
    </row>
    <row r="290" spans="2:5" x14ac:dyDescent="0.2">
      <c r="B290" s="356"/>
      <c r="C290" s="359"/>
    </row>
    <row r="291" spans="2:5" x14ac:dyDescent="0.2">
      <c r="B291" s="356"/>
      <c r="C291" s="1540" t="s">
        <v>317</v>
      </c>
      <c r="D291" s="353">
        <v>104</v>
      </c>
      <c r="E291" s="1539" t="s">
        <v>236</v>
      </c>
    </row>
    <row r="292" spans="2:5" x14ac:dyDescent="0.2">
      <c r="B292" s="356"/>
      <c r="C292" s="359"/>
    </row>
    <row r="293" spans="2:5" x14ac:dyDescent="0.2">
      <c r="B293" s="356" t="str">
        <f>ORÇ!A209</f>
        <v>11.9.10</v>
      </c>
      <c r="C293" s="359" t="str">
        <f>ORÇ!D209</f>
        <v>CONDULETE DE ALUMÍNIO, TIPO E, PARA ELETRODUTO DE AÇO GALVANIZADO DN 20 MM (3/4''), APARENTE - FORNECIMENTO E INSTALAÇÃO. AF_11/2016_P</v>
      </c>
    </row>
    <row r="294" spans="2:5" x14ac:dyDescent="0.2">
      <c r="B294" s="356"/>
      <c r="C294" s="359"/>
    </row>
    <row r="295" spans="2:5" x14ac:dyDescent="0.2">
      <c r="B295" s="356"/>
      <c r="C295" s="1540" t="s">
        <v>317</v>
      </c>
      <c r="D295" s="353">
        <v>52</v>
      </c>
      <c r="E295" s="1539" t="s">
        <v>236</v>
      </c>
    </row>
    <row r="296" spans="2:5" x14ac:dyDescent="0.2">
      <c r="C296" s="359"/>
    </row>
    <row r="297" spans="2:5" x14ac:dyDescent="0.2">
      <c r="B297" s="356" t="str">
        <f>ORÇ!A210</f>
        <v>11.9.11</v>
      </c>
      <c r="C297" s="359" t="str">
        <f>ORÇ!D210</f>
        <v>SAIDA HORIZONTAL PARA ELETRODUTO 3/4". FORNECIMENTO E INSTALAÇÃO.</v>
      </c>
    </row>
    <row r="298" spans="2:5" x14ac:dyDescent="0.2">
      <c r="B298" s="356"/>
      <c r="C298" s="359"/>
    </row>
    <row r="299" spans="2:5" x14ac:dyDescent="0.2">
      <c r="B299" s="356"/>
      <c r="C299" s="1540" t="s">
        <v>317</v>
      </c>
      <c r="D299" s="353">
        <v>52</v>
      </c>
      <c r="E299" s="1539" t="s">
        <v>236</v>
      </c>
    </row>
    <row r="300" spans="2:5" x14ac:dyDescent="0.2">
      <c r="B300" s="356"/>
      <c r="C300" s="359"/>
    </row>
    <row r="301" spans="2:5" x14ac:dyDescent="0.2">
      <c r="B301" s="356" t="str">
        <f>ORÇ!A211</f>
        <v>11.9.12</v>
      </c>
      <c r="C301" s="359" t="str">
        <f>ORÇ!D211</f>
        <v>Bucha e arruela de alumínio de     3/4"</v>
      </c>
    </row>
    <row r="302" spans="2:5" x14ac:dyDescent="0.2">
      <c r="B302" s="356"/>
      <c r="C302" s="359"/>
    </row>
    <row r="303" spans="2:5" x14ac:dyDescent="0.2">
      <c r="B303" s="356"/>
      <c r="C303" s="1540" t="s">
        <v>317</v>
      </c>
      <c r="D303" s="353">
        <v>52</v>
      </c>
      <c r="E303" s="1539" t="s">
        <v>236</v>
      </c>
    </row>
    <row r="304" spans="2:5" x14ac:dyDescent="0.2">
      <c r="B304" s="356"/>
      <c r="C304" s="359"/>
    </row>
    <row r="305" spans="2:5" x14ac:dyDescent="0.2">
      <c r="B305" s="356" t="str">
        <f>ORÇ!A212</f>
        <v>11.9.13</v>
      </c>
      <c r="C305" s="359" t="str">
        <f>ORÇ!D212</f>
        <v>CABO DE COBRE FLEXÍVEL ISOLADO, 4 MM², ANTI-CHAMA 0,6/1,0 KV, PARA CIRCUITOS TERMINAIS - FORNECIMENTO E INSTALAÇÃO. AF_12/2015</v>
      </c>
    </row>
    <row r="306" spans="2:5" x14ac:dyDescent="0.2">
      <c r="B306" s="356"/>
      <c r="C306" s="359"/>
    </row>
    <row r="307" spans="2:5" x14ac:dyDescent="0.2">
      <c r="B307" s="356"/>
      <c r="C307" s="1540" t="s">
        <v>317</v>
      </c>
      <c r="D307" s="353">
        <v>1550</v>
      </c>
      <c r="E307" s="1539" t="s">
        <v>214</v>
      </c>
    </row>
    <row r="308" spans="2:5" x14ac:dyDescent="0.2">
      <c r="B308" s="356"/>
      <c r="C308" s="359"/>
    </row>
    <row r="309" spans="2:5" x14ac:dyDescent="0.2">
      <c r="B309" s="356" t="str">
        <f>ORÇ!A213</f>
        <v>11.9.14</v>
      </c>
      <c r="C309" s="359" t="str">
        <f>ORÇ!D213</f>
        <v>CABO DE COBRE FLEXÍVEL ISOLADO, 2,5 MM², ANTI-CHAMA 450/750 V, PARA CIRCUITOS TERMINAIS - FORNECIMENTO E INSTALAÇÃO. AF_12/2015</v>
      </c>
    </row>
    <row r="310" spans="2:5" x14ac:dyDescent="0.2">
      <c r="B310" s="356"/>
      <c r="C310" s="359"/>
    </row>
    <row r="311" spans="2:5" x14ac:dyDescent="0.2">
      <c r="B311" s="356"/>
      <c r="C311" s="1540" t="s">
        <v>317</v>
      </c>
      <c r="D311" s="353">
        <v>2500</v>
      </c>
      <c r="E311" s="1539" t="s">
        <v>236</v>
      </c>
    </row>
    <row r="312" spans="2:5" x14ac:dyDescent="0.2">
      <c r="B312" s="356"/>
      <c r="C312" s="359"/>
    </row>
    <row r="313" spans="2:5" x14ac:dyDescent="0.2">
      <c r="B313" s="356" t="str">
        <f>ORÇ!A214</f>
        <v>11.10</v>
      </c>
      <c r="C313" s="359" t="str">
        <f>ORÇ!D214</f>
        <v>Sistema de Iluminação e Tomadas</v>
      </c>
    </row>
    <row r="314" spans="2:5" x14ac:dyDescent="0.2">
      <c r="B314" s="356" t="str">
        <f>ORÇ!A215</f>
        <v>11.10.1</v>
      </c>
      <c r="C314" s="359" t="str">
        <f>ORÇ!D215</f>
        <v>ELETROCALHA PERFURADA TIPO ""U"" 100X50 CHAPA 20 SEM TAMPA. FORNECIMENTO E INSTALAÇÃO.</v>
      </c>
    </row>
    <row r="315" spans="2:5" x14ac:dyDescent="0.2">
      <c r="B315" s="356"/>
      <c r="C315" s="359"/>
    </row>
    <row r="316" spans="2:5" x14ac:dyDescent="0.2">
      <c r="B316" s="356"/>
      <c r="C316" s="1540" t="s">
        <v>317</v>
      </c>
      <c r="D316" s="353">
        <v>200</v>
      </c>
      <c r="E316" s="1539" t="s">
        <v>214</v>
      </c>
    </row>
    <row r="317" spans="2:5" x14ac:dyDescent="0.2">
      <c r="B317" s="356"/>
      <c r="C317" s="359"/>
    </row>
    <row r="318" spans="2:5" x14ac:dyDescent="0.2">
      <c r="B318" s="356" t="str">
        <f>ORÇ!A216</f>
        <v>11.10.2</v>
      </c>
      <c r="C318" s="359" t="str">
        <f>ORÇ!D216</f>
        <v>ELETROCALHA - TAMPA DE ENCAIXE 100MM. FORNECIMENTO E INSTALAÇÃO.</v>
      </c>
    </row>
    <row r="319" spans="2:5" x14ac:dyDescent="0.2">
      <c r="B319" s="356"/>
      <c r="C319" s="359"/>
    </row>
    <row r="320" spans="2:5" x14ac:dyDescent="0.2">
      <c r="B320" s="356"/>
      <c r="C320" s="1540" t="s">
        <v>317</v>
      </c>
      <c r="D320" s="353">
        <v>200</v>
      </c>
      <c r="E320" s="1539" t="s">
        <v>214</v>
      </c>
    </row>
    <row r="321" spans="2:5" x14ac:dyDescent="0.2">
      <c r="B321" s="356"/>
      <c r="C321" s="359"/>
    </row>
    <row r="322" spans="2:5" x14ac:dyDescent="0.2">
      <c r="B322" s="356" t="str">
        <f>ORÇ!A217</f>
        <v>11.10.3</v>
      </c>
      <c r="C322" s="359" t="str">
        <f>ORÇ!D217</f>
        <v xml:space="preserve"> EMENDA INTERNA PARA ELETROCALHA 100x50MM. FORNECIMENTO E INSTALAÇÃO.</v>
      </c>
    </row>
    <row r="323" spans="2:5" x14ac:dyDescent="0.2">
      <c r="B323" s="356"/>
      <c r="C323" s="359"/>
    </row>
    <row r="324" spans="2:5" x14ac:dyDescent="0.2">
      <c r="B324" s="356"/>
      <c r="C324" s="1540" t="s">
        <v>317</v>
      </c>
      <c r="D324" s="353">
        <v>90</v>
      </c>
      <c r="E324" s="1539" t="s">
        <v>236</v>
      </c>
    </row>
    <row r="325" spans="2:5" x14ac:dyDescent="0.2">
      <c r="B325" s="356"/>
      <c r="C325" s="359"/>
    </row>
    <row r="326" spans="2:5" x14ac:dyDescent="0.2">
      <c r="B326" s="356" t="str">
        <f>ORÇ!A218</f>
        <v>11.10.4</v>
      </c>
      <c r="C326" s="359" t="str">
        <f>ORÇ!D218</f>
        <v>TE HORIZONTAL PARA ELETROCALHA 100X100MM. FORNECIMENTO E INSTALAÇÃO.</v>
      </c>
    </row>
    <row r="327" spans="2:5" x14ac:dyDescent="0.2">
      <c r="B327" s="356"/>
      <c r="C327" s="359"/>
    </row>
    <row r="328" spans="2:5" x14ac:dyDescent="0.2">
      <c r="B328" s="356"/>
      <c r="C328" s="1540" t="s">
        <v>317</v>
      </c>
      <c r="D328" s="353">
        <v>5</v>
      </c>
      <c r="E328" s="1539" t="s">
        <v>236</v>
      </c>
    </row>
    <row r="329" spans="2:5" x14ac:dyDescent="0.2">
      <c r="B329" s="356"/>
      <c r="C329" s="359"/>
    </row>
    <row r="330" spans="2:5" x14ac:dyDescent="0.2">
      <c r="B330" s="356" t="str">
        <f>ORÇ!A219</f>
        <v>11.10.5</v>
      </c>
      <c r="C330" s="359" t="str">
        <f>ORÇ!D219</f>
        <v>ELETROCALHA - CURVA 90 GRAUS HORIZONTAL 100X50MM. FORNECIMENTO E INSTALAÇÃO.</v>
      </c>
    </row>
    <row r="331" spans="2:5" x14ac:dyDescent="0.2">
      <c r="B331" s="356"/>
      <c r="C331" s="359"/>
    </row>
    <row r="332" spans="2:5" x14ac:dyDescent="0.2">
      <c r="B332" s="356"/>
      <c r="C332" s="1540" t="s">
        <v>317</v>
      </c>
      <c r="D332" s="353">
        <v>3</v>
      </c>
      <c r="E332" s="1539" t="s">
        <v>236</v>
      </c>
    </row>
    <row r="333" spans="2:5" x14ac:dyDescent="0.2">
      <c r="B333" s="356"/>
      <c r="C333" s="359"/>
    </row>
    <row r="334" spans="2:5" x14ac:dyDescent="0.2">
      <c r="B334" s="356" t="str">
        <f>ORÇ!A220</f>
        <v>11.10.6</v>
      </c>
      <c r="C334" s="359" t="str">
        <f>ORÇ!D220</f>
        <v>TERMINAL PARA ELETROCALHA 100X50MM. FORNECIMENTO E INSTALAÇÃO.</v>
      </c>
    </row>
    <row r="335" spans="2:5" x14ac:dyDescent="0.2">
      <c r="B335" s="356"/>
      <c r="C335" s="359"/>
    </row>
    <row r="336" spans="2:5" x14ac:dyDescent="0.2">
      <c r="B336" s="356"/>
      <c r="C336" s="1540" t="s">
        <v>317</v>
      </c>
      <c r="D336" s="353">
        <v>7</v>
      </c>
      <c r="E336" s="1539" t="s">
        <v>236</v>
      </c>
    </row>
    <row r="337" spans="2:11" x14ac:dyDescent="0.2">
      <c r="B337" s="356"/>
      <c r="C337" s="359"/>
    </row>
    <row r="338" spans="2:11" x14ac:dyDescent="0.2">
      <c r="B338" s="356" t="str">
        <f>ORÇ!A221</f>
        <v>11.10.7</v>
      </c>
      <c r="C338" s="359" t="str">
        <f>ORÇ!D221</f>
        <v>Bucha e arruela de alumínio de    1"</v>
      </c>
    </row>
    <row r="339" spans="2:11" x14ac:dyDescent="0.2">
      <c r="B339" s="356"/>
      <c r="C339" s="359"/>
    </row>
    <row r="340" spans="2:11" x14ac:dyDescent="0.2">
      <c r="B340" s="356"/>
      <c r="C340" s="1540" t="s">
        <v>317</v>
      </c>
      <c r="D340" s="353">
        <v>16</v>
      </c>
      <c r="E340" s="1539" t="s">
        <v>236</v>
      </c>
    </row>
    <row r="341" spans="2:11" x14ac:dyDescent="0.2">
      <c r="B341" s="356"/>
      <c r="C341" s="359"/>
    </row>
    <row r="342" spans="2:11" x14ac:dyDescent="0.2">
      <c r="B342" s="356" t="str">
        <f>ORÇ!A222</f>
        <v>11.10.8</v>
      </c>
      <c r="C342" s="359" t="str">
        <f>ORÇ!D222</f>
        <v>Bucha e arruela de alumínio de     3/4"</v>
      </c>
    </row>
    <row r="343" spans="2:11" x14ac:dyDescent="0.2">
      <c r="B343" s="356"/>
      <c r="C343" s="359"/>
    </row>
    <row r="344" spans="2:11" x14ac:dyDescent="0.2">
      <c r="B344" s="356"/>
      <c r="C344" s="1540" t="s">
        <v>317</v>
      </c>
      <c r="D344" s="353">
        <v>120</v>
      </c>
      <c r="E344" s="1539" t="s">
        <v>236</v>
      </c>
    </row>
    <row r="345" spans="2:11" x14ac:dyDescent="0.2">
      <c r="B345" s="356"/>
      <c r="C345" s="359"/>
    </row>
    <row r="346" spans="2:11" s="1409" customFormat="1" x14ac:dyDescent="0.2">
      <c r="B346" s="358" t="str">
        <f>ORÇ!A223</f>
        <v>11.10.9</v>
      </c>
      <c r="C346" s="1978" t="str">
        <f>ORÇ!D223</f>
        <v>SAIDA HORIZONTAL PARA ELETRODUTO 3/4". FORNECIMENTO E INSTALAÇÃO.</v>
      </c>
      <c r="D346" s="1978"/>
      <c r="E346" s="1978"/>
      <c r="F346" s="1978"/>
      <c r="G346" s="1978"/>
      <c r="H346" s="1978"/>
      <c r="I346" s="1978"/>
      <c r="J346" s="1978"/>
      <c r="K346" s="1978"/>
    </row>
    <row r="347" spans="2:11" x14ac:dyDescent="0.2">
      <c r="B347" s="356"/>
      <c r="C347" s="359"/>
    </row>
    <row r="348" spans="2:11" x14ac:dyDescent="0.2">
      <c r="B348" s="356"/>
      <c r="C348" s="1540" t="s">
        <v>317</v>
      </c>
      <c r="D348" s="353">
        <v>120</v>
      </c>
      <c r="E348" s="1539" t="s">
        <v>236</v>
      </c>
    </row>
    <row r="349" spans="2:11" x14ac:dyDescent="0.2">
      <c r="B349" s="356"/>
      <c r="C349" s="359"/>
    </row>
    <row r="350" spans="2:11" s="1409" customFormat="1" x14ac:dyDescent="0.2">
      <c r="B350" s="358" t="str">
        <f>ORÇ!A224</f>
        <v>11.10.10</v>
      </c>
      <c r="C350" s="1978" t="str">
        <f>ORÇ!D224</f>
        <v>SAIDA HORIZONTAL PARA ELETRODUTO 1"". FORNECIMENTO E INSTALAÇÃO</v>
      </c>
      <c r="D350" s="1978"/>
      <c r="E350" s="1978"/>
      <c r="F350" s="1978"/>
      <c r="G350" s="1978"/>
      <c r="H350" s="1978"/>
      <c r="I350" s="1978"/>
      <c r="J350" s="1978"/>
      <c r="K350" s="1978"/>
    </row>
    <row r="351" spans="2:11" x14ac:dyDescent="0.2">
      <c r="B351" s="356"/>
      <c r="C351" s="359"/>
    </row>
    <row r="352" spans="2:11" x14ac:dyDescent="0.2">
      <c r="B352" s="356"/>
      <c r="C352" s="1540" t="s">
        <v>317</v>
      </c>
      <c r="D352" s="353">
        <v>16</v>
      </c>
      <c r="E352" s="1539" t="s">
        <v>236</v>
      </c>
    </row>
    <row r="353" spans="2:11" x14ac:dyDescent="0.2">
      <c r="B353" s="356"/>
      <c r="C353" s="359"/>
    </row>
    <row r="354" spans="2:11" s="1409" customFormat="1" x14ac:dyDescent="0.2">
      <c r="B354" s="358" t="str">
        <f>ORÇ!A225</f>
        <v>11.10.11</v>
      </c>
      <c r="C354" s="1978" t="str">
        <f>ORÇ!D225</f>
        <v>FIXAÇÃO DE TUBOS HORIZONTAIS DE PVC, CPVC OU COBRE DIÂMETROS MENORES OU IGUAIS A 40 MM OU ELETROCALHAS ATÉ 150MM DE LARGURA, COM ABRAÇADEIRA METÁLICA RÍGIDA TIPO D 1/2, FIXADA EM PERFILADO EM LAJE. AF_05/2015</v>
      </c>
      <c r="D354" s="1978"/>
      <c r="E354" s="1978"/>
      <c r="F354" s="1978"/>
      <c r="G354" s="1978"/>
      <c r="H354" s="1978"/>
      <c r="I354" s="1978"/>
      <c r="J354" s="1978"/>
      <c r="K354" s="1978"/>
    </row>
    <row r="355" spans="2:11" x14ac:dyDescent="0.2">
      <c r="B355" s="356"/>
      <c r="C355" s="359"/>
    </row>
    <row r="356" spans="2:11" x14ac:dyDescent="0.2">
      <c r="B356" s="356"/>
      <c r="C356" s="1540" t="s">
        <v>317</v>
      </c>
      <c r="D356" s="353">
        <v>200</v>
      </c>
      <c r="E356" s="1539" t="s">
        <v>236</v>
      </c>
    </row>
    <row r="357" spans="2:11" x14ac:dyDescent="0.2">
      <c r="B357" s="356"/>
      <c r="C357" s="359"/>
    </row>
    <row r="358" spans="2:11" x14ac:dyDescent="0.2">
      <c r="B358" s="356" t="str">
        <f>ORÇ!A226</f>
        <v>11.10.12</v>
      </c>
      <c r="C358" s="359" t="str">
        <f>ORÇ!D226</f>
        <v>CAIXA OCTOGONAL 4" X 4", PVC, INSTALADA EM LAJE - FORNECIMENTO E INSTALAÇÃO. AF_12/2015</v>
      </c>
    </row>
    <row r="359" spans="2:11" x14ac:dyDescent="0.2">
      <c r="B359" s="356"/>
      <c r="C359" s="359"/>
    </row>
    <row r="360" spans="2:11" x14ac:dyDescent="0.2">
      <c r="B360" s="356"/>
      <c r="C360" s="1540" t="s">
        <v>317</v>
      </c>
      <c r="D360" s="353">
        <v>294</v>
      </c>
      <c r="E360" s="1539" t="s">
        <v>236</v>
      </c>
    </row>
    <row r="361" spans="2:11" x14ac:dyDescent="0.2">
      <c r="B361" s="356"/>
      <c r="C361" s="359"/>
    </row>
    <row r="362" spans="2:11" s="1409" customFormat="1" x14ac:dyDescent="0.2">
      <c r="B362" s="358" t="str">
        <f>ORÇ!A227</f>
        <v>11.10.13</v>
      </c>
      <c r="C362" s="1541" t="str">
        <f>ORÇ!D227</f>
        <v>CAIXA RETANGULAR 4" X 2" BAIXA (0,30 M DO PISO), PVC, INSTALADA EM PAREDE - FORNECIMENTO E INSTALAÇÃO. AF_12/2015</v>
      </c>
    </row>
    <row r="363" spans="2:11" x14ac:dyDescent="0.2">
      <c r="B363" s="356"/>
      <c r="C363" s="359"/>
    </row>
    <row r="364" spans="2:11" x14ac:dyDescent="0.2">
      <c r="B364" s="356"/>
      <c r="C364" s="1540" t="s">
        <v>317</v>
      </c>
      <c r="D364" s="353">
        <v>286</v>
      </c>
      <c r="E364" s="1539" t="s">
        <v>236</v>
      </c>
    </row>
    <row r="365" spans="2:11" x14ac:dyDescent="0.2">
      <c r="B365" s="356"/>
      <c r="C365" s="359"/>
    </row>
    <row r="366" spans="2:11" s="1409" customFormat="1" x14ac:dyDescent="0.2">
      <c r="B366" s="358" t="str">
        <f>ORÇ!A228</f>
        <v>11.10.14</v>
      </c>
      <c r="C366" s="1978" t="str">
        <f>ORÇ!D228</f>
        <v>LUMINÁRIA ARANDELA TIPO TARTARUGA, COM GRADE, DE SOBREPOR, COM 1 LÂMPADA FLUORESCENTE DE 15 W, SEM REATOR - FORNECIMENTO E INSTALAÇÃO. AF_02/2020</v>
      </c>
      <c r="D366" s="1978"/>
      <c r="E366" s="1978"/>
      <c r="F366" s="1978"/>
      <c r="G366" s="1978"/>
      <c r="H366" s="1978"/>
      <c r="I366" s="1978"/>
      <c r="J366" s="1978"/>
      <c r="K366" s="1978"/>
    </row>
    <row r="367" spans="2:11" x14ac:dyDescent="0.2">
      <c r="B367" s="356"/>
      <c r="C367" s="359"/>
    </row>
    <row r="368" spans="2:11" x14ac:dyDescent="0.2">
      <c r="B368" s="356"/>
      <c r="C368" s="1540" t="s">
        <v>317</v>
      </c>
      <c r="D368" s="353">
        <v>19</v>
      </c>
      <c r="E368" s="1539" t="s">
        <v>236</v>
      </c>
    </row>
    <row r="369" spans="2:5" x14ac:dyDescent="0.2">
      <c r="B369" s="356"/>
      <c r="C369" s="359"/>
    </row>
    <row r="370" spans="2:5" x14ac:dyDescent="0.2">
      <c r="B370" s="356" t="str">
        <f>ORÇ!A229</f>
        <v>11.10.15</v>
      </c>
      <c r="C370" s="359" t="str">
        <f>ORÇ!D229</f>
        <v>SPOT DE LED PARA PISO 10W. FORNECIMENTO E INSTALAÇÃO.</v>
      </c>
    </row>
    <row r="371" spans="2:5" x14ac:dyDescent="0.2">
      <c r="B371" s="356"/>
      <c r="C371" s="359"/>
    </row>
    <row r="372" spans="2:5" x14ac:dyDescent="0.2">
      <c r="B372" s="356"/>
      <c r="C372" s="1540" t="s">
        <v>317</v>
      </c>
      <c r="D372" s="353">
        <v>22</v>
      </c>
      <c r="E372" s="1539" t="s">
        <v>236</v>
      </c>
    </row>
    <row r="373" spans="2:5" x14ac:dyDescent="0.2">
      <c r="B373" s="356"/>
      <c r="C373" s="359"/>
    </row>
    <row r="374" spans="2:5" x14ac:dyDescent="0.2">
      <c r="B374" s="356" t="str">
        <f>ORÇ!A230</f>
        <v>11.10.16</v>
      </c>
      <c r="C374" s="359" t="str">
        <f>ORÇ!D230</f>
        <v>LUMINÁRIA TIPO PLAFON QUADRADO DE LED 40x40cm - POTÊNCIA 40W. FORNECIMENTO E INSTALAÇÃO.</v>
      </c>
    </row>
    <row r="375" spans="2:5" x14ac:dyDescent="0.2">
      <c r="B375" s="356"/>
      <c r="C375" s="359"/>
    </row>
    <row r="376" spans="2:5" x14ac:dyDescent="0.2">
      <c r="B376" s="356"/>
      <c r="C376" s="1540" t="s">
        <v>317</v>
      </c>
      <c r="D376" s="353">
        <v>217</v>
      </c>
      <c r="E376" s="1539" t="s">
        <v>236</v>
      </c>
    </row>
    <row r="377" spans="2:5" x14ac:dyDescent="0.2">
      <c r="B377" s="356"/>
      <c r="C377" s="359"/>
    </row>
    <row r="378" spans="2:5" x14ac:dyDescent="0.2">
      <c r="B378" s="356" t="str">
        <f>ORÇ!A231</f>
        <v>11.10.17</v>
      </c>
      <c r="C378" s="359" t="str">
        <f>ORÇ!D231</f>
        <v>LUMINÁRIA TIPO PLAFON QUADRADO DE LED 30x30cm - POTÊNCIA 20W. FORNECIMENTO E INSTALAÇÃO.</v>
      </c>
    </row>
    <row r="379" spans="2:5" x14ac:dyDescent="0.2">
      <c r="B379" s="356"/>
      <c r="C379" s="359"/>
    </row>
    <row r="380" spans="2:5" x14ac:dyDescent="0.2">
      <c r="B380" s="356"/>
      <c r="C380" s="1540" t="s">
        <v>317</v>
      </c>
      <c r="D380" s="353">
        <v>41</v>
      </c>
      <c r="E380" s="1539" t="s">
        <v>236</v>
      </c>
    </row>
    <row r="381" spans="2:5" x14ac:dyDescent="0.2">
      <c r="B381" s="356"/>
      <c r="C381" s="359"/>
    </row>
    <row r="382" spans="2:5" x14ac:dyDescent="0.2">
      <c r="B382" s="356" t="str">
        <f>ORÇ!A232</f>
        <v>11.10.18</v>
      </c>
      <c r="C382" s="359" t="str">
        <f>ORÇ!D232</f>
        <v>ELETRODUTO RÍGIDO ROSCÁVEL, PVC, DN 32 MM (1"), PARA CIRCUITOS TERMINAIS, INSTALADO EM FORRO - FORNECIMENTO E INSTALAÇÃO. AF_12/2015</v>
      </c>
    </row>
    <row r="383" spans="2:5" x14ac:dyDescent="0.2">
      <c r="B383" s="356"/>
      <c r="C383" s="359"/>
    </row>
    <row r="384" spans="2:5" x14ac:dyDescent="0.2">
      <c r="B384" s="356"/>
      <c r="C384" s="1540" t="s">
        <v>317</v>
      </c>
      <c r="D384" s="353">
        <v>50</v>
      </c>
      <c r="E384" s="1539" t="s">
        <v>214</v>
      </c>
    </row>
    <row r="385" spans="2:11" x14ac:dyDescent="0.2">
      <c r="B385" s="356"/>
      <c r="C385" s="359"/>
    </row>
    <row r="386" spans="2:11" x14ac:dyDescent="0.2">
      <c r="B386" s="356" t="str">
        <f>ORÇ!A233</f>
        <v>11.10.19</v>
      </c>
      <c r="C386" s="359" t="str">
        <f>ORÇ!D233</f>
        <v>ELETRODUTO RÍGIDO ROSCÁVEL, PVC, DN 25 MM (3/4"), PARA CIRCUITOS TERMINAIS, INSTALADO EM FORRO - FORNECIMENTO E INSTALAÇÃO. AF_12/2015</v>
      </c>
    </row>
    <row r="387" spans="2:11" x14ac:dyDescent="0.2">
      <c r="B387" s="356"/>
      <c r="C387" s="359"/>
    </row>
    <row r="388" spans="2:11" x14ac:dyDescent="0.2">
      <c r="B388" s="356"/>
      <c r="C388" s="1540" t="s">
        <v>317</v>
      </c>
      <c r="D388" s="353">
        <v>2100</v>
      </c>
      <c r="E388" s="1539" t="s">
        <v>214</v>
      </c>
    </row>
    <row r="389" spans="2:11" x14ac:dyDescent="0.2">
      <c r="B389" s="356"/>
      <c r="C389" s="359"/>
    </row>
    <row r="390" spans="2:11" s="1409" customFormat="1" x14ac:dyDescent="0.2">
      <c r="B390" s="358" t="str">
        <f>ORÇ!A234</f>
        <v>11.10.20</v>
      </c>
      <c r="C390" s="1978" t="str">
        <f>ORÇ!D234</f>
        <v>CURVA 90 GRAUS PARA ELETRODUTO, PVC, ROSCÁVEL, DN 32 MM (1"), PARA CIRCUITOS TERMINAIS, INSTALADA EM PAREDE - FORNECIMENTO E INSTALAÇÃO. AF_12/2015</v>
      </c>
      <c r="D390" s="1978"/>
      <c r="E390" s="1978"/>
      <c r="F390" s="1978"/>
      <c r="G390" s="1978"/>
      <c r="H390" s="1978"/>
      <c r="I390" s="1978"/>
      <c r="J390" s="1978"/>
      <c r="K390" s="1978"/>
    </row>
    <row r="391" spans="2:11" x14ac:dyDescent="0.2">
      <c r="B391" s="356"/>
      <c r="C391" s="359"/>
    </row>
    <row r="392" spans="2:11" x14ac:dyDescent="0.2">
      <c r="B392" s="356"/>
      <c r="C392" s="1540" t="s">
        <v>317</v>
      </c>
      <c r="D392" s="353">
        <v>16</v>
      </c>
      <c r="E392" s="1539" t="s">
        <v>236</v>
      </c>
    </row>
    <row r="393" spans="2:11" x14ac:dyDescent="0.2">
      <c r="B393" s="356"/>
      <c r="C393" s="359"/>
    </row>
    <row r="394" spans="2:11" s="1409" customFormat="1" x14ac:dyDescent="0.2">
      <c r="B394" s="358" t="str">
        <f>ORÇ!A235</f>
        <v>11.10.21</v>
      </c>
      <c r="C394" s="1978" t="str">
        <f>ORÇ!D235</f>
        <v>CURVA 90 GRAUS PARA ELETRODUTO, PVC, ROSCÁVEL, DN 25 MM (3/4"), PARA CIRCUITOS TERMINAIS, INSTALADA EM FORRO - FORNECIMENTO E INSTALAÇÃO. AF_12/2015</v>
      </c>
      <c r="D394" s="1978"/>
      <c r="E394" s="1978"/>
      <c r="F394" s="1978"/>
      <c r="G394" s="1978"/>
      <c r="H394" s="1978"/>
      <c r="I394" s="1978"/>
      <c r="J394" s="1978"/>
      <c r="K394" s="1978"/>
    </row>
    <row r="395" spans="2:11" x14ac:dyDescent="0.2">
      <c r="B395" s="356"/>
      <c r="C395" s="359"/>
    </row>
    <row r="396" spans="2:11" x14ac:dyDescent="0.2">
      <c r="B396" s="356"/>
      <c r="C396" s="1540" t="s">
        <v>317</v>
      </c>
      <c r="D396" s="353">
        <v>244</v>
      </c>
      <c r="E396" s="1539" t="s">
        <v>236</v>
      </c>
    </row>
    <row r="397" spans="2:11" x14ac:dyDescent="0.2">
      <c r="B397" s="356"/>
      <c r="C397" s="359"/>
    </row>
    <row r="398" spans="2:11" s="1409" customFormat="1" x14ac:dyDescent="0.2">
      <c r="B398" s="358" t="str">
        <f>ORÇ!A236</f>
        <v>11.10.22</v>
      </c>
      <c r="C398" s="1977" t="str">
        <f>ORÇ!D236</f>
        <v>LUVA PARA ELETRODUTO, PVC, ROSCÁVEL, DN 32 MM (1"), PARA CIRCUITOS TERMINAIS, INSTALADA EM PAREDE - FORNECIMENTO E INSTALAÇÃO. AF_12/2015</v>
      </c>
      <c r="D398" s="1978"/>
      <c r="E398" s="1978"/>
      <c r="F398" s="1978"/>
      <c r="G398" s="1978"/>
      <c r="H398" s="1978"/>
      <c r="I398" s="1978"/>
      <c r="J398" s="1978"/>
      <c r="K398" s="1978"/>
    </row>
    <row r="399" spans="2:11" x14ac:dyDescent="0.2">
      <c r="B399" s="356"/>
      <c r="C399" s="359"/>
    </row>
    <row r="400" spans="2:11" x14ac:dyDescent="0.2">
      <c r="B400" s="356"/>
      <c r="C400" s="1540" t="s">
        <v>317</v>
      </c>
      <c r="D400" s="353">
        <v>64</v>
      </c>
      <c r="E400" s="1539" t="s">
        <v>236</v>
      </c>
    </row>
    <row r="401" spans="2:11" x14ac:dyDescent="0.2">
      <c r="B401" s="356"/>
      <c r="C401" s="359"/>
    </row>
    <row r="402" spans="2:11" x14ac:dyDescent="0.2">
      <c r="B402" s="358" t="str">
        <f>ORÇ!A237</f>
        <v>11.10.23</v>
      </c>
      <c r="C402" s="1977" t="str">
        <f>ORÇ!D237</f>
        <v>LUVA PARA ELETRODUTO, PVC, ROSCÁVEL, DN 25 MM (3/4"), PARA CIRCUITOS TERMINAIS, INSTALADA EM FORRO - FORNECIMENTO E INSTALAÇÃO. AF_12/2015</v>
      </c>
      <c r="D402" s="1978"/>
      <c r="E402" s="1978"/>
      <c r="F402" s="1978"/>
      <c r="G402" s="1978"/>
      <c r="H402" s="1978"/>
      <c r="I402" s="1978"/>
      <c r="J402" s="1978"/>
      <c r="K402" s="1978"/>
    </row>
    <row r="403" spans="2:11" x14ac:dyDescent="0.2">
      <c r="B403" s="356"/>
      <c r="C403" s="359"/>
    </row>
    <row r="404" spans="2:11" x14ac:dyDescent="0.2">
      <c r="B404" s="356"/>
      <c r="C404" s="1540" t="s">
        <v>317</v>
      </c>
      <c r="D404" s="353">
        <v>620</v>
      </c>
      <c r="E404" s="1539" t="s">
        <v>236</v>
      </c>
    </row>
    <row r="405" spans="2:11" x14ac:dyDescent="0.2">
      <c r="B405" s="356"/>
      <c r="C405" s="359"/>
    </row>
    <row r="406" spans="2:11" x14ac:dyDescent="0.2">
      <c r="B406" s="358" t="str">
        <f>ORÇ!A238</f>
        <v>11.10.24</v>
      </c>
      <c r="C406" s="1977" t="str">
        <f>ORÇ!D238</f>
        <v>INTERRUPTOR PARALELO (1 MÓDULO), 10A/250V, INCLUINDO SUPORTE E PLACA - FORNECIMENTO E INSTALAÇÃO. AF_12/2015</v>
      </c>
      <c r="D406" s="1978"/>
      <c r="E406" s="1978"/>
      <c r="F406" s="1978"/>
      <c r="G406" s="1978"/>
      <c r="H406" s="1978"/>
      <c r="I406" s="1978"/>
      <c r="J406" s="1978"/>
      <c r="K406" s="1978"/>
    </row>
    <row r="407" spans="2:11" x14ac:dyDescent="0.2">
      <c r="B407" s="356"/>
      <c r="C407" s="359"/>
    </row>
    <row r="408" spans="2:11" x14ac:dyDescent="0.2">
      <c r="B408" s="356"/>
      <c r="C408" s="1540" t="s">
        <v>317</v>
      </c>
      <c r="D408" s="353">
        <v>4</v>
      </c>
      <c r="E408" s="1539" t="s">
        <v>236</v>
      </c>
    </row>
    <row r="409" spans="2:11" x14ac:dyDescent="0.2">
      <c r="B409" s="356"/>
      <c r="C409" s="359"/>
    </row>
    <row r="410" spans="2:11" x14ac:dyDescent="0.2">
      <c r="B410" s="358" t="str">
        <f>ORÇ!A239</f>
        <v>11.10.25</v>
      </c>
      <c r="C410" s="1977" t="str">
        <f>ORÇ!D239</f>
        <v>INTERRUPTOR SIMPLES (1 MÓDULO), 10A/250V, INCLUINDO SUPORTE E PLACA - FORNECIMENTO E INSTALAÇÃO. AF_12/2015</v>
      </c>
      <c r="D410" s="1978"/>
      <c r="E410" s="1978"/>
      <c r="F410" s="1978"/>
      <c r="G410" s="1978"/>
      <c r="H410" s="1978"/>
      <c r="I410" s="1978"/>
      <c r="J410" s="1978"/>
      <c r="K410" s="1978"/>
    </row>
    <row r="411" spans="2:11" x14ac:dyDescent="0.2">
      <c r="B411" s="356"/>
      <c r="C411" s="359"/>
    </row>
    <row r="412" spans="2:11" x14ac:dyDescent="0.2">
      <c r="B412" s="356"/>
      <c r="C412" s="1540" t="s">
        <v>317</v>
      </c>
      <c r="D412" s="353">
        <v>44</v>
      </c>
      <c r="E412" s="1539" t="s">
        <v>236</v>
      </c>
    </row>
    <row r="413" spans="2:11" x14ac:dyDescent="0.2">
      <c r="B413" s="356"/>
      <c r="C413" s="359"/>
    </row>
    <row r="414" spans="2:11" x14ac:dyDescent="0.2">
      <c r="B414" s="358" t="str">
        <f>ORÇ!A240</f>
        <v>11.10.26</v>
      </c>
      <c r="C414" s="1977" t="str">
        <f>ORÇ!D240</f>
        <v>INTERRUPTOR SIMPLES (2 MÓDULOS), 10A/250V, INCLUINDO SUPORTE E PLACA - FORNECIMENTO E INSTALAÇÃO. AF_12/2015</v>
      </c>
      <c r="D414" s="1978"/>
      <c r="E414" s="1978"/>
      <c r="F414" s="1978"/>
      <c r="G414" s="1978"/>
      <c r="H414" s="1978"/>
      <c r="I414" s="1978"/>
      <c r="J414" s="1978"/>
      <c r="K414" s="1978"/>
    </row>
    <row r="415" spans="2:11" x14ac:dyDescent="0.2">
      <c r="B415" s="356"/>
      <c r="C415" s="359"/>
    </row>
    <row r="416" spans="2:11" x14ac:dyDescent="0.2">
      <c r="B416" s="356"/>
      <c r="C416" s="1540" t="s">
        <v>317</v>
      </c>
      <c r="D416" s="353">
        <v>10</v>
      </c>
      <c r="E416" s="1539" t="s">
        <v>236</v>
      </c>
    </row>
    <row r="417" spans="2:11" x14ac:dyDescent="0.2">
      <c r="B417" s="356"/>
      <c r="C417" s="359"/>
    </row>
    <row r="418" spans="2:11" x14ac:dyDescent="0.2">
      <c r="B418" s="358" t="str">
        <f>ORÇ!A241</f>
        <v>11.10.27</v>
      </c>
      <c r="C418" s="1977" t="str">
        <f>ORÇ!D241</f>
        <v>INTERRUPTOR SIMPLES (3 MÓDULOS), 10A/250V, INCLUINDO SUPORTE E PLACA - FORNECIMENTO E INSTALAÇÃO. AF_12/2015</v>
      </c>
      <c r="D418" s="1978"/>
      <c r="E418" s="1978"/>
      <c r="F418" s="1978"/>
      <c r="G418" s="1978"/>
      <c r="H418" s="1978"/>
      <c r="I418" s="1978"/>
      <c r="J418" s="1978"/>
      <c r="K418" s="1978"/>
    </row>
    <row r="419" spans="2:11" x14ac:dyDescent="0.2">
      <c r="B419" s="356"/>
      <c r="C419" s="359"/>
    </row>
    <row r="420" spans="2:11" x14ac:dyDescent="0.2">
      <c r="B420" s="356"/>
      <c r="C420" s="1540" t="s">
        <v>317</v>
      </c>
      <c r="D420" s="353">
        <v>1</v>
      </c>
      <c r="E420" s="1539" t="s">
        <v>236</v>
      </c>
    </row>
    <row r="421" spans="2:11" x14ac:dyDescent="0.2">
      <c r="B421" s="356"/>
      <c r="C421" s="359"/>
    </row>
    <row r="422" spans="2:11" x14ac:dyDescent="0.2">
      <c r="B422" s="358" t="str">
        <f>ORÇ!A242</f>
        <v>11.10.28</v>
      </c>
      <c r="C422" s="1977" t="str">
        <f>ORÇ!D242</f>
        <v>TOMADA BAIXA DE EMBUTIR (2 MÓDULOS), 2P+T 10 A, INCLUINDO SUPORTE E PLACA - FORNECIMENTO E INSTALAÇÃO. AF_12/2015</v>
      </c>
      <c r="D422" s="1978"/>
      <c r="E422" s="1978"/>
      <c r="F422" s="1978"/>
      <c r="G422" s="1978"/>
      <c r="H422" s="1978"/>
      <c r="I422" s="1978"/>
      <c r="J422" s="1978"/>
      <c r="K422" s="1978"/>
    </row>
    <row r="423" spans="2:11" x14ac:dyDescent="0.2">
      <c r="B423" s="356"/>
      <c r="C423" s="359"/>
    </row>
    <row r="424" spans="2:11" x14ac:dyDescent="0.2">
      <c r="B424" s="356"/>
      <c r="C424" s="1540" t="s">
        <v>317</v>
      </c>
      <c r="D424" s="353">
        <v>82</v>
      </c>
      <c r="E424" s="1539" t="s">
        <v>236</v>
      </c>
    </row>
    <row r="425" spans="2:11" x14ac:dyDescent="0.2">
      <c r="B425" s="356"/>
      <c r="C425" s="359"/>
    </row>
    <row r="426" spans="2:11" x14ac:dyDescent="0.2">
      <c r="B426" s="358" t="str">
        <f>ORÇ!A243</f>
        <v>11.10.29</v>
      </c>
      <c r="C426" s="1977" t="str">
        <f>ORÇ!D243</f>
        <v>TOMADA BAIXA DE EMBUTIR (1 MÓDULO), 2P+T 10 A, INCLUINDO SUPORTE E PLACA - FORNECIMENTO E INSTALAÇÃO. AF_12/2015</v>
      </c>
      <c r="D426" s="1978"/>
      <c r="E426" s="1978"/>
      <c r="F426" s="1978"/>
      <c r="G426" s="1978"/>
      <c r="H426" s="1978"/>
      <c r="I426" s="1978"/>
      <c r="J426" s="1978"/>
      <c r="K426" s="1978"/>
    </row>
    <row r="427" spans="2:11" x14ac:dyDescent="0.2">
      <c r="B427" s="356"/>
      <c r="C427" s="359"/>
    </row>
    <row r="428" spans="2:11" x14ac:dyDescent="0.2">
      <c r="B428" s="356"/>
      <c r="C428" s="1540" t="s">
        <v>317</v>
      </c>
      <c r="D428" s="353">
        <v>122</v>
      </c>
      <c r="E428" s="1539" t="s">
        <v>236</v>
      </c>
    </row>
    <row r="429" spans="2:11" x14ac:dyDescent="0.2">
      <c r="B429" s="356"/>
      <c r="C429" s="359"/>
    </row>
    <row r="430" spans="2:11" x14ac:dyDescent="0.2">
      <c r="B430" s="358" t="str">
        <f>ORÇ!A244</f>
        <v>11.10.30</v>
      </c>
      <c r="C430" s="1977" t="str">
        <f>ORÇ!D244</f>
        <v>CABO DE COBRE FLEXÍVEL ISOLADO, 4 MM², ANTI-CHAMA 450/750 V, PARA CIRCUITOS TERMINAIS - FORNECIMENTO E INSTALAÇÃO. AF_12/2015</v>
      </c>
      <c r="D430" s="1978"/>
      <c r="E430" s="1978"/>
      <c r="F430" s="1978"/>
      <c r="G430" s="1978"/>
      <c r="H430" s="1978"/>
      <c r="I430" s="1978"/>
      <c r="J430" s="1978"/>
      <c r="K430" s="1978"/>
    </row>
    <row r="431" spans="2:11" x14ac:dyDescent="0.2">
      <c r="B431" s="356"/>
      <c r="C431" s="359"/>
    </row>
    <row r="432" spans="2:11" x14ac:dyDescent="0.2">
      <c r="B432" s="356"/>
      <c r="C432" s="1540" t="s">
        <v>317</v>
      </c>
      <c r="D432" s="353">
        <v>3600</v>
      </c>
      <c r="E432" s="1539" t="s">
        <v>214</v>
      </c>
    </row>
    <row r="433" spans="2:11" x14ac:dyDescent="0.2">
      <c r="B433" s="356"/>
      <c r="C433" s="359"/>
    </row>
    <row r="434" spans="2:11" x14ac:dyDescent="0.2">
      <c r="B434" s="358" t="str">
        <f>ORÇ!A245</f>
        <v>11.10.31</v>
      </c>
      <c r="C434" s="1977" t="str">
        <f>ORÇ!D245</f>
        <v>CABO DE COBRE FLEXÍVEL ISOLADO, 2,5 MM², ANTI-CHAMA 450/750 V, PARA CIRCUITOS TERMINAIS - FORNECIMENTO E INSTALAÇÃO. AF_12/2015</v>
      </c>
      <c r="D434" s="1978"/>
      <c r="E434" s="1978"/>
      <c r="F434" s="1978"/>
      <c r="G434" s="1978"/>
      <c r="H434" s="1978"/>
      <c r="I434" s="1978"/>
      <c r="J434" s="1978"/>
      <c r="K434" s="1978"/>
    </row>
    <row r="435" spans="2:11" x14ac:dyDescent="0.2">
      <c r="B435" s="356"/>
      <c r="C435" s="359"/>
    </row>
    <row r="436" spans="2:11" x14ac:dyDescent="0.2">
      <c r="B436" s="356"/>
      <c r="C436" s="1540" t="s">
        <v>317</v>
      </c>
      <c r="D436" s="353">
        <v>4000</v>
      </c>
      <c r="E436" s="1539" t="s">
        <v>236</v>
      </c>
    </row>
    <row r="437" spans="2:11" x14ac:dyDescent="0.2">
      <c r="B437" s="356"/>
      <c r="C437" s="359"/>
    </row>
    <row r="438" spans="2:11" x14ac:dyDescent="0.2">
      <c r="B438" s="356" t="str">
        <f>ORÇ!A246</f>
        <v>11.11</v>
      </c>
      <c r="C438" s="359" t="str">
        <f>ORÇ!D246</f>
        <v>SPDA e Aterramento</v>
      </c>
    </row>
    <row r="439" spans="2:11" x14ac:dyDescent="0.2">
      <c r="B439" s="356" t="str">
        <f>ORÇ!A247</f>
        <v>11.11.1</v>
      </c>
      <c r="C439" s="359" t="str">
        <f>ORÇ!D247</f>
        <v>HASTE DE ATERRAMENTO 5/8  PARA SPDA - FORNECIMENTO E INSTALAÇÃO. AF_12/2017</v>
      </c>
    </row>
    <row r="440" spans="2:11" x14ac:dyDescent="0.2">
      <c r="B440" s="356"/>
      <c r="C440" s="359"/>
    </row>
    <row r="441" spans="2:11" x14ac:dyDescent="0.2">
      <c r="B441" s="356"/>
      <c r="C441" s="1540" t="s">
        <v>317</v>
      </c>
      <c r="D441" s="353">
        <v>25</v>
      </c>
      <c r="E441" s="1539" t="s">
        <v>236</v>
      </c>
    </row>
    <row r="442" spans="2:11" x14ac:dyDescent="0.2">
      <c r="C442" s="359"/>
    </row>
    <row r="443" spans="2:11" x14ac:dyDescent="0.2">
      <c r="B443" s="356" t="str">
        <f>ORÇ!A248</f>
        <v>11.11.2</v>
      </c>
      <c r="C443" s="359" t="str">
        <f>ORÇ!D248</f>
        <v>CAIXA DE INSPEÇÃO PARA ATERRAMENTO, CIRCULAR, EM POLIETILENO, DIÂMETRO INTERNO = 0,3 M. AF_12/2020</v>
      </c>
    </row>
    <row r="444" spans="2:11" x14ac:dyDescent="0.2">
      <c r="B444" s="356"/>
      <c r="C444" s="359"/>
    </row>
    <row r="445" spans="2:11" x14ac:dyDescent="0.2">
      <c r="B445" s="356"/>
      <c r="C445" s="1540" t="s">
        <v>317</v>
      </c>
      <c r="D445" s="353">
        <v>25</v>
      </c>
      <c r="E445" s="1539" t="s">
        <v>236</v>
      </c>
    </row>
    <row r="446" spans="2:11" x14ac:dyDescent="0.2">
      <c r="B446" s="356"/>
      <c r="C446" s="359"/>
    </row>
    <row r="447" spans="2:11" x14ac:dyDescent="0.2">
      <c r="B447" s="356" t="str">
        <f>ORÇ!A249</f>
        <v>11.11.3</v>
      </c>
      <c r="C447" s="359" t="str">
        <f>ORÇ!D249</f>
        <v>Base para mastro 1 1/2"</v>
      </c>
    </row>
    <row r="448" spans="2:11" x14ac:dyDescent="0.2">
      <c r="B448" s="356"/>
      <c r="C448" s="359"/>
    </row>
    <row r="449" spans="2:5" x14ac:dyDescent="0.2">
      <c r="B449" s="356"/>
      <c r="C449" s="1540" t="s">
        <v>317</v>
      </c>
      <c r="D449" s="353">
        <v>2</v>
      </c>
      <c r="E449" s="1539" t="s">
        <v>236</v>
      </c>
    </row>
    <row r="450" spans="2:5" x14ac:dyDescent="0.2">
      <c r="B450" s="356"/>
      <c r="C450" s="359"/>
    </row>
    <row r="451" spans="2:5" x14ac:dyDescent="0.2">
      <c r="B451" s="356" t="str">
        <f>ORÇ!A250</f>
        <v>11.11.4</v>
      </c>
      <c r="C451" s="359" t="str">
        <f>ORÇ!D250</f>
        <v>Mastro simples de fo go p/ para-raio (c/ acessorios)</v>
      </c>
    </row>
    <row r="452" spans="2:5" x14ac:dyDescent="0.2">
      <c r="B452" s="356"/>
      <c r="C452" s="359"/>
    </row>
    <row r="453" spans="2:5" x14ac:dyDescent="0.2">
      <c r="B453" s="356"/>
      <c r="C453" s="1540" t="s">
        <v>317</v>
      </c>
      <c r="D453" s="353">
        <v>2</v>
      </c>
      <c r="E453" s="1539" t="s">
        <v>236</v>
      </c>
    </row>
    <row r="454" spans="2:5" x14ac:dyDescent="0.2">
      <c r="B454" s="356"/>
      <c r="C454" s="359"/>
    </row>
    <row r="455" spans="2:5" x14ac:dyDescent="0.2">
      <c r="B455" s="356" t="str">
        <f>ORÇ!A251</f>
        <v>11.11.5</v>
      </c>
      <c r="C455" s="359" t="str">
        <f>ORÇ!D251</f>
        <v>Pára-Raio latao cromado tipo Franklin (s/acess.)</v>
      </c>
    </row>
    <row r="456" spans="2:5" x14ac:dyDescent="0.2">
      <c r="B456" s="356"/>
      <c r="C456" s="359"/>
    </row>
    <row r="457" spans="2:5" x14ac:dyDescent="0.2">
      <c r="B457" s="356"/>
      <c r="C457" s="1540" t="s">
        <v>317</v>
      </c>
      <c r="D457" s="353">
        <v>2</v>
      </c>
      <c r="E457" s="1539" t="s">
        <v>236</v>
      </c>
    </row>
    <row r="458" spans="2:5" x14ac:dyDescent="0.2">
      <c r="B458" s="356"/>
      <c r="C458" s="359"/>
    </row>
    <row r="459" spans="2:5" x14ac:dyDescent="0.2">
      <c r="B459" s="356" t="str">
        <f>ORÇ!A252</f>
        <v>11.11.6</v>
      </c>
      <c r="C459" s="359" t="str">
        <f>ORÇ!D252</f>
        <v>TERMINAL AEREO EM ACO GALVANIZADO COM BASE DE FIXACAO H = 30CM. FORNECIMENTO E INSTALAÇÃO</v>
      </c>
    </row>
    <row r="460" spans="2:5" x14ac:dyDescent="0.2">
      <c r="B460" s="356"/>
      <c r="C460" s="359"/>
    </row>
    <row r="461" spans="2:5" x14ac:dyDescent="0.2">
      <c r="B461" s="356"/>
      <c r="C461" s="1540" t="s">
        <v>317</v>
      </c>
      <c r="D461" s="353">
        <v>34</v>
      </c>
      <c r="E461" s="1539" t="s">
        <v>236</v>
      </c>
    </row>
    <row r="462" spans="2:5" x14ac:dyDescent="0.2">
      <c r="B462" s="356"/>
      <c r="C462" s="359"/>
    </row>
    <row r="463" spans="2:5" x14ac:dyDescent="0.2">
      <c r="B463" s="356" t="str">
        <f>ORÇ!A253</f>
        <v>11.11.7</v>
      </c>
      <c r="C463" s="359" t="str">
        <f>ORÇ!D253</f>
        <v>Terminal de compressão em latão  35mm²</v>
      </c>
    </row>
    <row r="464" spans="2:5" x14ac:dyDescent="0.2">
      <c r="B464" s="356"/>
      <c r="C464" s="359"/>
    </row>
    <row r="465" spans="2:5" x14ac:dyDescent="0.2">
      <c r="B465" s="356"/>
      <c r="C465" s="1540" t="s">
        <v>317</v>
      </c>
      <c r="D465" s="353">
        <v>66</v>
      </c>
      <c r="E465" s="1539" t="s">
        <v>236</v>
      </c>
    </row>
    <row r="466" spans="2:5" x14ac:dyDescent="0.2">
      <c r="B466" s="356"/>
      <c r="C466" s="359"/>
    </row>
    <row r="467" spans="2:5" x14ac:dyDescent="0.2">
      <c r="B467" s="356" t="str">
        <f>ORÇ!A254</f>
        <v>11.11.8</v>
      </c>
      <c r="C467" s="359" t="str">
        <f>ORÇ!D254</f>
        <v>CORDOALHA DE COBRE NU 35 MM², NÃO ENTERRADA, COM ISOLADOR - FORNECIMENTO E INSTALAÇÃO. AF_12/2017</v>
      </c>
    </row>
    <row r="468" spans="2:5" x14ac:dyDescent="0.2">
      <c r="B468" s="356"/>
      <c r="C468" s="359"/>
    </row>
    <row r="469" spans="2:5" x14ac:dyDescent="0.2">
      <c r="B469" s="356"/>
      <c r="C469" s="1540" t="s">
        <v>317</v>
      </c>
      <c r="D469" s="353">
        <v>325</v>
      </c>
      <c r="E469" s="1539" t="s">
        <v>214</v>
      </c>
    </row>
    <row r="470" spans="2:5" x14ac:dyDescent="0.2">
      <c r="B470" s="356"/>
      <c r="C470" s="359"/>
    </row>
    <row r="471" spans="2:5" x14ac:dyDescent="0.2">
      <c r="B471" s="356" t="str">
        <f>ORÇ!A255</f>
        <v>11.11.9</v>
      </c>
      <c r="C471" s="359" t="str">
        <f>ORÇ!D255</f>
        <v>CORDOALHA DE COBRE NU 50 MM², ENTERRADA, SEM ISOLADOR - FORNECIMENTO E INSTALAÇÃO. AF_12/2017</v>
      </c>
    </row>
    <row r="472" spans="2:5" x14ac:dyDescent="0.2">
      <c r="B472" s="356"/>
      <c r="C472" s="359"/>
    </row>
    <row r="473" spans="2:5" x14ac:dyDescent="0.2">
      <c r="B473" s="356"/>
      <c r="C473" s="1540" t="s">
        <v>317</v>
      </c>
      <c r="D473" s="353">
        <v>200</v>
      </c>
      <c r="E473" s="1539" t="s">
        <v>214</v>
      </c>
    </row>
    <row r="474" spans="2:5" x14ac:dyDescent="0.2">
      <c r="B474" s="356"/>
      <c r="C474" s="359"/>
    </row>
    <row r="475" spans="2:5" x14ac:dyDescent="0.2">
      <c r="B475" s="356" t="str">
        <f>ORÇ!A256</f>
        <v>11.11.10</v>
      </c>
      <c r="C475" s="359" t="str">
        <f>ORÇ!D256</f>
        <v>Ponto de solda exotérmica</v>
      </c>
    </row>
    <row r="476" spans="2:5" x14ac:dyDescent="0.2">
      <c r="B476" s="356"/>
      <c r="C476" s="359"/>
    </row>
    <row r="477" spans="2:5" x14ac:dyDescent="0.2">
      <c r="B477" s="356"/>
      <c r="C477" s="1540" t="s">
        <v>317</v>
      </c>
      <c r="D477" s="353">
        <v>50</v>
      </c>
      <c r="E477" s="1539" t="s">
        <v>236</v>
      </c>
    </row>
    <row r="478" spans="2:5" x14ac:dyDescent="0.2">
      <c r="B478" s="356"/>
      <c r="C478" s="359"/>
    </row>
    <row r="479" spans="2:5" x14ac:dyDescent="0.2">
      <c r="B479" s="356" t="str">
        <f>ORÇ!A257</f>
        <v>11.11.11</v>
      </c>
      <c r="C479" s="359" t="str">
        <f>ORÇ!D257</f>
        <v>ELETRODUTO RÍGIDO ROSCÁVEL, PVC, DN 32 MM (1"), PARA CIRCUITOS TERMINAIS, INSTALADO EM FORRO - FORNECIMENTO E INSTALAÇÃO. AF_12/2015</v>
      </c>
    </row>
    <row r="480" spans="2:5" x14ac:dyDescent="0.2">
      <c r="B480" s="356"/>
      <c r="C480" s="359"/>
    </row>
    <row r="481" spans="2:5" x14ac:dyDescent="0.2">
      <c r="B481" s="356"/>
      <c r="C481" s="1540" t="s">
        <v>317</v>
      </c>
      <c r="D481" s="353">
        <v>750</v>
      </c>
      <c r="E481" s="1539" t="s">
        <v>17</v>
      </c>
    </row>
    <row r="482" spans="2:5" x14ac:dyDescent="0.2">
      <c r="B482" s="356"/>
      <c r="C482" s="359"/>
    </row>
    <row r="483" spans="2:5" x14ac:dyDescent="0.2">
      <c r="B483" s="356"/>
    </row>
  </sheetData>
  <mergeCells count="77">
    <mergeCell ref="C434:K434"/>
    <mergeCell ref="C48:K48"/>
    <mergeCell ref="C89:K89"/>
    <mergeCell ref="C93:K93"/>
    <mergeCell ref="C97:K97"/>
    <mergeCell ref="C101:K101"/>
    <mergeCell ref="C285:K285"/>
    <mergeCell ref="C240:K240"/>
    <mergeCell ref="C398:K398"/>
    <mergeCell ref="C346:K346"/>
    <mergeCell ref="C350:K350"/>
    <mergeCell ref="C354:K354"/>
    <mergeCell ref="C366:K366"/>
    <mergeCell ref="C105:K105"/>
    <mergeCell ref="C109:K109"/>
    <mergeCell ref="C121:K121"/>
    <mergeCell ref="C81:I81"/>
    <mergeCell ref="C85:I85"/>
    <mergeCell ref="C69:I69"/>
    <mergeCell ref="C73:I73"/>
    <mergeCell ref="C44:K44"/>
    <mergeCell ref="C53:I53"/>
    <mergeCell ref="C57:I57"/>
    <mergeCell ref="C61:I61"/>
    <mergeCell ref="C65:I65"/>
    <mergeCell ref="C77:I77"/>
    <mergeCell ref="A1:K1"/>
    <mergeCell ref="B2:F2"/>
    <mergeCell ref="G2:H2"/>
    <mergeCell ref="I2:K2"/>
    <mergeCell ref="B3:K3"/>
    <mergeCell ref="B4:K4"/>
    <mergeCell ref="B5:D5"/>
    <mergeCell ref="E5:F6"/>
    <mergeCell ref="G5:K6"/>
    <mergeCell ref="A6:A7"/>
    <mergeCell ref="B6:D7"/>
    <mergeCell ref="E7:F7"/>
    <mergeCell ref="G7:K7"/>
    <mergeCell ref="A9:K9"/>
    <mergeCell ref="A10:K10"/>
    <mergeCell ref="A11:K11"/>
    <mergeCell ref="C52:I52"/>
    <mergeCell ref="C20:I20"/>
    <mergeCell ref="C16:I16"/>
    <mergeCell ref="C24:I24"/>
    <mergeCell ref="C28:I28"/>
    <mergeCell ref="C36:I36"/>
    <mergeCell ref="C40:I40"/>
    <mergeCell ref="C32:K32"/>
    <mergeCell ref="C125:K125"/>
    <mergeCell ref="C113:I113"/>
    <mergeCell ref="C117:I117"/>
    <mergeCell ref="C138:I138"/>
    <mergeCell ref="C129:I129"/>
    <mergeCell ref="C133:I133"/>
    <mergeCell ref="C137:I137"/>
    <mergeCell ref="C142:I142"/>
    <mergeCell ref="C150:I150"/>
    <mergeCell ref="C159:I159"/>
    <mergeCell ref="C236:K236"/>
    <mergeCell ref="C155:I155"/>
    <mergeCell ref="C146:K146"/>
    <mergeCell ref="C168:K168"/>
    <mergeCell ref="C185:K185"/>
    <mergeCell ref="C202:K202"/>
    <mergeCell ref="C219:K219"/>
    <mergeCell ref="C390:K390"/>
    <mergeCell ref="C394:K394"/>
    <mergeCell ref="C402:K402"/>
    <mergeCell ref="C406:K406"/>
    <mergeCell ref="C410:K410"/>
    <mergeCell ref="C422:K422"/>
    <mergeCell ref="C426:K426"/>
    <mergeCell ref="C430:K430"/>
    <mergeCell ref="C414:K414"/>
    <mergeCell ref="C418:K418"/>
  </mergeCells>
  <pageMargins left="0.511811024" right="0.511811024" top="0.78740157499999996" bottom="0.78740157499999996" header="0.31496062000000002" footer="0.31496062000000002"/>
  <pageSetup paperSize="9" scale="48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view="pageBreakPreview" topLeftCell="A139" zoomScale="85" zoomScaleNormal="100" zoomScaleSheetLayoutView="85" workbookViewId="0">
      <selection activeCell="I153" sqref="I153"/>
    </sheetView>
  </sheetViews>
  <sheetFormatPr defaultRowHeight="12.75" x14ac:dyDescent="0.2"/>
  <cols>
    <col min="1" max="1" width="15.5703125" customWidth="1"/>
    <col min="3" max="3" width="11.28515625" customWidth="1"/>
  </cols>
  <sheetData>
    <row r="1" spans="1:14" ht="88.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4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4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4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4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4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4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4" ht="13.5" thickBot="1" x14ac:dyDescent="0.25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</row>
    <row r="9" spans="1:14" ht="13.5" thickBot="1" x14ac:dyDescent="0.25">
      <c r="A9" s="1984" t="s">
        <v>953</v>
      </c>
      <c r="B9" s="1985"/>
      <c r="C9" s="1985"/>
      <c r="D9" s="1985"/>
      <c r="E9" s="1985"/>
      <c r="F9" s="1985"/>
      <c r="G9" s="1985"/>
      <c r="H9" s="1985"/>
      <c r="I9" s="1985"/>
      <c r="J9" s="1985"/>
      <c r="K9" s="1985"/>
      <c r="L9" s="1985"/>
      <c r="M9" s="1985"/>
      <c r="N9" s="1986"/>
    </row>
    <row r="10" spans="1:14" ht="13.5" thickBot="1" x14ac:dyDescent="0.25">
      <c r="A10" s="1984" t="str">
        <f>ORÇ!B3</f>
        <v>CONSTRUÇÃO DO COMPLEXO ADMINISTRATIVO DO MUNICIPIO DE PLACAS</v>
      </c>
      <c r="B10" s="1985"/>
      <c r="C10" s="1985"/>
      <c r="D10" s="1985"/>
      <c r="E10" s="1985"/>
      <c r="F10" s="1985"/>
      <c r="G10" s="1985"/>
      <c r="H10" s="1985"/>
      <c r="I10" s="1985"/>
      <c r="J10" s="1985"/>
      <c r="K10" s="1985"/>
      <c r="L10" s="1985"/>
      <c r="M10" s="1985"/>
      <c r="N10" s="1986"/>
    </row>
    <row r="11" spans="1:14" ht="13.5" thickBot="1" x14ac:dyDescent="0.25">
      <c r="A11" s="1984" t="str">
        <f>ORÇ!D260</f>
        <v>SISTEMAS ELETRÔNICOS - CABEAMENO ESTUTURADO E CFTV</v>
      </c>
      <c r="B11" s="1985"/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/>
      <c r="N11" s="1986"/>
    </row>
    <row r="12" spans="1:14" x14ac:dyDescent="0.2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372"/>
      <c r="L12" s="351"/>
      <c r="M12" s="351"/>
      <c r="N12" s="351"/>
    </row>
    <row r="13" spans="1:14" s="351" customFormat="1" x14ac:dyDescent="0.2">
      <c r="B13" s="356">
        <f>ORÇ!A260</f>
        <v>12</v>
      </c>
      <c r="C13" s="359" t="str">
        <f>ORÇ!D260</f>
        <v>SISTEMAS ELETRÔNICOS - CABEAMENO ESTUTURADO E CFTV</v>
      </c>
    </row>
    <row r="14" spans="1:14" s="351" customFormat="1" x14ac:dyDescent="0.2">
      <c r="B14" s="356"/>
      <c r="C14" s="359"/>
    </row>
    <row r="15" spans="1:14" s="351" customFormat="1" x14ac:dyDescent="0.2">
      <c r="B15" s="356" t="str">
        <f>ORÇ!A261</f>
        <v>12.1</v>
      </c>
      <c r="C15" s="359" t="str">
        <f>ORÇ!D261</f>
        <v>TOMADA DE REDE RJ45 - FORNECIMENTO E INSTALAÇÃO. AF_11/2019 (Instalado em piso ou em parede)</v>
      </c>
    </row>
    <row r="16" spans="1:14" s="351" customFormat="1" x14ac:dyDescent="0.2">
      <c r="B16" s="356"/>
      <c r="C16" s="359"/>
    </row>
    <row r="17" spans="2:14" s="351" customFormat="1" x14ac:dyDescent="0.2">
      <c r="B17" s="356"/>
      <c r="C17" s="354" t="s">
        <v>317</v>
      </c>
      <c r="D17" s="353">
        <v>17</v>
      </c>
      <c r="E17" s="352" t="s">
        <v>236</v>
      </c>
    </row>
    <row r="18" spans="2:14" s="351" customFormat="1" x14ac:dyDescent="0.2">
      <c r="B18" s="356"/>
      <c r="C18" s="359"/>
    </row>
    <row r="19" spans="2:14" s="351" customFormat="1" x14ac:dyDescent="0.2">
      <c r="B19" s="356" t="str">
        <f>ORÇ!A262</f>
        <v>12.2</v>
      </c>
      <c r="C19" s="359" t="str">
        <f>ORÇ!D262</f>
        <v>Tomada femea RJ-45 completa (Instalado em piso ou em parede)</v>
      </c>
    </row>
    <row r="20" spans="2:14" s="351" customFormat="1" x14ac:dyDescent="0.2">
      <c r="B20" s="356"/>
      <c r="C20" s="359"/>
    </row>
    <row r="21" spans="2:14" s="351" customFormat="1" x14ac:dyDescent="0.2">
      <c r="B21" s="356"/>
      <c r="C21" s="354" t="s">
        <v>317</v>
      </c>
      <c r="D21" s="353">
        <v>57</v>
      </c>
      <c r="E21" s="352" t="s">
        <v>236</v>
      </c>
    </row>
    <row r="22" spans="2:14" s="351" customFormat="1" x14ac:dyDescent="0.2">
      <c r="B22" s="356"/>
      <c r="C22" s="359"/>
    </row>
    <row r="23" spans="2:14" s="351" customFormat="1" x14ac:dyDescent="0.2">
      <c r="B23" s="356" t="str">
        <f>ORÇ!A263</f>
        <v>12.3</v>
      </c>
      <c r="C23" s="359" t="str">
        <f>ORÇ!D263</f>
        <v>Conector macho RJ45 p/ cabo UTP cat. 6.</v>
      </c>
    </row>
    <row r="24" spans="2:14" s="351" customFormat="1" x14ac:dyDescent="0.2">
      <c r="B24" s="356"/>
      <c r="C24" s="359"/>
    </row>
    <row r="25" spans="2:14" s="351" customFormat="1" x14ac:dyDescent="0.2">
      <c r="B25" s="356"/>
      <c r="C25" s="354" t="s">
        <v>317</v>
      </c>
      <c r="D25" s="353">
        <v>185</v>
      </c>
      <c r="E25" s="352" t="s">
        <v>236</v>
      </c>
    </row>
    <row r="26" spans="2:14" s="351" customFormat="1" x14ac:dyDescent="0.2">
      <c r="B26" s="356"/>
      <c r="C26" s="359"/>
    </row>
    <row r="27" spans="2:14" s="351" customFormat="1" x14ac:dyDescent="0.2">
      <c r="B27" s="356" t="str">
        <f>ORÇ!A264</f>
        <v>12.4</v>
      </c>
      <c r="C27" s="359" t="str">
        <f>ORÇ!D264</f>
        <v>Tampa cega 4"x4" plástica</v>
      </c>
    </row>
    <row r="28" spans="2:14" s="351" customFormat="1" x14ac:dyDescent="0.2">
      <c r="B28" s="356"/>
      <c r="C28" s="359"/>
    </row>
    <row r="29" spans="2:14" s="351" customFormat="1" x14ac:dyDescent="0.2">
      <c r="B29" s="356"/>
      <c r="C29" s="354" t="s">
        <v>317</v>
      </c>
      <c r="D29" s="353">
        <v>6</v>
      </c>
      <c r="E29" s="352" t="s">
        <v>236</v>
      </c>
    </row>
    <row r="30" spans="2:14" s="351" customFormat="1" x14ac:dyDescent="0.2">
      <c r="B30" s="356"/>
      <c r="C30" s="359"/>
    </row>
    <row r="31" spans="2:14" s="351" customFormat="1" ht="25.5" customHeight="1" x14ac:dyDescent="0.2">
      <c r="B31" s="356" t="str">
        <f>ORÇ!A265</f>
        <v>12.5</v>
      </c>
      <c r="C31" s="1979" t="str">
        <f>ORÇ!D265</f>
        <v>CAIXA RETANGULAR 4" X 2" MÉDIA (1,30 M DO PISO), PVC, INSTALADA EM PAREDE - FORNECIMENTO E INSTALAÇÃO. AF_12/2015</v>
      </c>
      <c r="D31" s="1979"/>
      <c r="E31" s="1979"/>
      <c r="F31" s="1979"/>
      <c r="G31" s="1979"/>
      <c r="H31" s="1979"/>
      <c r="I31" s="1979"/>
      <c r="J31" s="1979"/>
      <c r="K31" s="1979"/>
      <c r="L31" s="1979"/>
      <c r="M31" s="1979"/>
      <c r="N31" s="1979"/>
    </row>
    <row r="32" spans="2:14" s="351" customFormat="1" x14ac:dyDescent="0.2">
      <c r="B32" s="356"/>
      <c r="C32" s="359"/>
    </row>
    <row r="33" spans="2:14" s="351" customFormat="1" x14ac:dyDescent="0.2">
      <c r="B33" s="356"/>
      <c r="C33" s="354" t="s">
        <v>317</v>
      </c>
      <c r="D33" s="353">
        <v>105</v>
      </c>
      <c r="E33" s="352" t="s">
        <v>236</v>
      </c>
    </row>
    <row r="34" spans="2:14" s="351" customFormat="1" x14ac:dyDescent="0.2">
      <c r="B34" s="356"/>
      <c r="C34" s="359"/>
    </row>
    <row r="35" spans="2:14" s="351" customFormat="1" x14ac:dyDescent="0.2">
      <c r="B35" s="356" t="str">
        <f>ORÇ!A266</f>
        <v>12.6</v>
      </c>
      <c r="C35" s="1979" t="str">
        <f>ORÇ!D266</f>
        <v>CAIXA RETANGULAR 4" X 4" BAIXA (0,30 M DO PISO), PVC, INSTALADA EM PAREDE - FORNECIMENTO E INSTALAÇÃO. AF_12/2015</v>
      </c>
      <c r="D35" s="1979"/>
      <c r="E35" s="1979"/>
      <c r="F35" s="1979"/>
      <c r="G35" s="1979"/>
      <c r="H35" s="1979"/>
      <c r="I35" s="1979"/>
      <c r="J35" s="1979"/>
      <c r="K35" s="1979"/>
      <c r="L35" s="1979"/>
      <c r="M35" s="1979"/>
      <c r="N35" s="1979"/>
    </row>
    <row r="36" spans="2:14" s="351" customFormat="1" x14ac:dyDescent="0.2">
      <c r="B36" s="356"/>
      <c r="C36" s="359"/>
    </row>
    <row r="37" spans="2:14" s="351" customFormat="1" x14ac:dyDescent="0.2">
      <c r="B37" s="356"/>
      <c r="C37" s="354" t="s">
        <v>317</v>
      </c>
      <c r="D37" s="353">
        <v>7</v>
      </c>
      <c r="E37" s="352" t="s">
        <v>236</v>
      </c>
    </row>
    <row r="38" spans="2:14" s="351" customFormat="1" x14ac:dyDescent="0.2">
      <c r="B38" s="356"/>
      <c r="C38" s="359"/>
    </row>
    <row r="39" spans="2:14" s="351" customFormat="1" x14ac:dyDescent="0.2">
      <c r="B39" s="356" t="str">
        <f>ORÇ!A267</f>
        <v>12.7</v>
      </c>
      <c r="C39" s="1979" t="str">
        <f>ORÇ!D267</f>
        <v>CAIXA RETANGULAR 4" X 2" MÉDIA (1,30 M DO PISO), METÁLICA, INSTALADA EM PAREDE - FORNECIMENTO E INSTALAÇÃO. AF_12/2015</v>
      </c>
      <c r="D39" s="1979"/>
      <c r="E39" s="1979"/>
      <c r="F39" s="1979"/>
      <c r="G39" s="1979"/>
      <c r="H39" s="1979"/>
      <c r="I39" s="1979"/>
      <c r="J39" s="1979"/>
      <c r="K39" s="1979"/>
      <c r="L39" s="1979"/>
      <c r="M39" s="1979"/>
      <c r="N39" s="1979"/>
    </row>
    <row r="40" spans="2:14" s="351" customFormat="1" x14ac:dyDescent="0.2">
      <c r="B40" s="356"/>
      <c r="C40" s="359"/>
    </row>
    <row r="41" spans="2:14" s="351" customFormat="1" x14ac:dyDescent="0.2">
      <c r="B41" s="356"/>
      <c r="C41" s="354" t="s">
        <v>317</v>
      </c>
      <c r="D41" s="353">
        <v>3</v>
      </c>
      <c r="E41" s="352" t="s">
        <v>236</v>
      </c>
    </row>
    <row r="42" spans="2:14" s="351" customFormat="1" x14ac:dyDescent="0.2">
      <c r="B42" s="356"/>
      <c r="C42" s="359"/>
    </row>
    <row r="43" spans="2:14" s="351" customFormat="1" x14ac:dyDescent="0.2">
      <c r="B43" s="356" t="str">
        <f>ORÇ!A268</f>
        <v>12.8</v>
      </c>
      <c r="C43" s="1979" t="str">
        <f>ORÇ!D268</f>
        <v>CAIXA RETANGULAR 4" X 4" MÉDIA (1,30 M DO PISO), METÁLICA, INSTALADA EM PAREDE - FORNECIMENTO E INSTALAÇÃO. AF_12/2015</v>
      </c>
      <c r="D43" s="1979"/>
      <c r="E43" s="1979"/>
      <c r="F43" s="1979"/>
      <c r="G43" s="1979"/>
      <c r="H43" s="1979"/>
      <c r="I43" s="1979"/>
      <c r="J43" s="1979"/>
      <c r="K43" s="1979"/>
      <c r="L43" s="1979"/>
      <c r="M43" s="1979"/>
      <c r="N43" s="1979"/>
    </row>
    <row r="44" spans="2:14" s="351" customFormat="1" x14ac:dyDescent="0.2">
      <c r="B44" s="356"/>
      <c r="C44" s="359"/>
    </row>
    <row r="45" spans="2:14" s="351" customFormat="1" x14ac:dyDescent="0.2">
      <c r="B45" s="356"/>
      <c r="C45" s="354" t="s">
        <v>317</v>
      </c>
      <c r="D45" s="353">
        <v>11</v>
      </c>
      <c r="E45" s="352" t="s">
        <v>236</v>
      </c>
    </row>
    <row r="46" spans="2:14" s="351" customFormat="1" x14ac:dyDescent="0.2">
      <c r="B46" s="356"/>
      <c r="C46" s="359"/>
    </row>
    <row r="47" spans="2:14" s="351" customFormat="1" x14ac:dyDescent="0.2">
      <c r="B47" s="356" t="str">
        <f>ORÇ!A269</f>
        <v>12.9</v>
      </c>
      <c r="C47" s="359" t="str">
        <f>ORÇ!D269</f>
        <v>Caixa em alvenaria de  50x50x50cm c/ tpo. concreto</v>
      </c>
    </row>
    <row r="48" spans="2:14" s="351" customFormat="1" x14ac:dyDescent="0.2">
      <c r="B48" s="356"/>
      <c r="C48" s="359"/>
    </row>
    <row r="49" spans="2:14" s="351" customFormat="1" x14ac:dyDescent="0.2">
      <c r="B49" s="356"/>
      <c r="C49" s="354" t="s">
        <v>317</v>
      </c>
      <c r="D49" s="353">
        <v>2</v>
      </c>
      <c r="E49" s="352" t="s">
        <v>236</v>
      </c>
    </row>
    <row r="50" spans="2:14" s="351" customFormat="1" x14ac:dyDescent="0.2">
      <c r="B50" s="356"/>
      <c r="C50" s="359"/>
    </row>
    <row r="51" spans="2:14" s="351" customFormat="1" x14ac:dyDescent="0.2">
      <c r="B51" s="356" t="str">
        <f>ORÇ!A270</f>
        <v>12.10</v>
      </c>
      <c r="C51" s="359" t="str">
        <f>ORÇ!D270</f>
        <v>Caixa de passagem em aluminio 300x300x130mm</v>
      </c>
    </row>
    <row r="52" spans="2:14" s="351" customFormat="1" x14ac:dyDescent="0.2">
      <c r="B52" s="356"/>
      <c r="C52" s="359"/>
    </row>
    <row r="53" spans="2:14" s="351" customFormat="1" x14ac:dyDescent="0.2">
      <c r="B53" s="356"/>
      <c r="C53" s="354" t="s">
        <v>317</v>
      </c>
      <c r="D53" s="353">
        <v>2</v>
      </c>
      <c r="E53" s="352" t="s">
        <v>236</v>
      </c>
    </row>
    <row r="54" spans="2:14" s="351" customFormat="1" x14ac:dyDescent="0.2">
      <c r="B54" s="356"/>
      <c r="C54" s="359"/>
    </row>
    <row r="55" spans="2:14" s="351" customFormat="1" x14ac:dyDescent="0.2">
      <c r="B55" s="356" t="str">
        <f>ORÇ!A271</f>
        <v>12.11</v>
      </c>
      <c r="C55" s="359" t="str">
        <f>ORÇ!D271</f>
        <v>Caixa em alvenaria de  60x60x60cm c/ tpo. concreto</v>
      </c>
    </row>
    <row r="56" spans="2:14" s="351" customFormat="1" x14ac:dyDescent="0.2">
      <c r="B56" s="356"/>
      <c r="C56" s="359"/>
    </row>
    <row r="57" spans="2:14" s="351" customFormat="1" x14ac:dyDescent="0.2">
      <c r="B57" s="356"/>
      <c r="C57" s="354" t="s">
        <v>317</v>
      </c>
      <c r="D57" s="353">
        <v>1</v>
      </c>
      <c r="E57" s="352" t="s">
        <v>236</v>
      </c>
    </row>
    <row r="58" spans="2:14" s="351" customFormat="1" x14ac:dyDescent="0.2">
      <c r="B58" s="356"/>
      <c r="C58" s="359"/>
    </row>
    <row r="59" spans="2:14" s="351" customFormat="1" x14ac:dyDescent="0.2">
      <c r="B59" s="356" t="str">
        <f>ORÇ!A272</f>
        <v>12.12</v>
      </c>
      <c r="C59" s="1979" t="str">
        <f>ORÇ!D272</f>
        <v>CONDULETE DE ALUMÍNIO, TIPO C, PARA ELETRODUTO DE AÇO GALVANIZADO DN 25 MM (1''), APARENTE - FORNECIMENTO E INSTALAÇÃO. AF_11/2016_P</v>
      </c>
      <c r="D59" s="1979"/>
      <c r="E59" s="1979"/>
      <c r="F59" s="1979"/>
      <c r="G59" s="1979"/>
      <c r="H59" s="1979"/>
      <c r="I59" s="1979"/>
      <c r="J59" s="1979"/>
      <c r="K59" s="1979"/>
      <c r="L59" s="1979"/>
      <c r="M59" s="1979"/>
      <c r="N59" s="1979"/>
    </row>
    <row r="60" spans="2:14" s="351" customFormat="1" x14ac:dyDescent="0.2">
      <c r="B60" s="356"/>
      <c r="C60" s="359"/>
    </row>
    <row r="61" spans="2:14" s="351" customFormat="1" x14ac:dyDescent="0.2">
      <c r="B61" s="356"/>
      <c r="C61" s="354" t="s">
        <v>317</v>
      </c>
      <c r="D61" s="353">
        <v>2</v>
      </c>
      <c r="E61" s="352" t="s">
        <v>236</v>
      </c>
    </row>
    <row r="62" spans="2:14" s="351" customFormat="1" x14ac:dyDescent="0.2">
      <c r="B62" s="356"/>
      <c r="C62" s="359"/>
    </row>
    <row r="63" spans="2:14" s="351" customFormat="1" x14ac:dyDescent="0.2">
      <c r="B63" s="356" t="str">
        <f>ORÇ!A273</f>
        <v>12.13</v>
      </c>
      <c r="C63" s="1979" t="str">
        <f>ORÇ!D273</f>
        <v>CONDULETE DE ALUMÍNIO, TIPO C, PARA ELETRODUTO DE AÇO GALVANIZADO DN 20 MM (3/4''), APARENTE - FORNECIMENTO E INSTALAÇÃO. AF_11/2016_P</v>
      </c>
      <c r="D63" s="1979"/>
      <c r="E63" s="1979"/>
      <c r="F63" s="1979"/>
      <c r="G63" s="1979"/>
      <c r="H63" s="1979"/>
      <c r="I63" s="1979"/>
      <c r="J63" s="1979"/>
      <c r="K63" s="1979"/>
      <c r="L63" s="1979"/>
      <c r="M63" s="1979"/>
      <c r="N63" s="1979"/>
    </row>
    <row r="64" spans="2:14" s="351" customFormat="1" x14ac:dyDescent="0.2">
      <c r="B64" s="356"/>
      <c r="C64" s="359"/>
    </row>
    <row r="65" spans="2:5" s="351" customFormat="1" x14ac:dyDescent="0.2">
      <c r="B65" s="356"/>
      <c r="C65" s="354" t="s">
        <v>317</v>
      </c>
      <c r="D65" s="353">
        <v>20</v>
      </c>
      <c r="E65" s="352" t="s">
        <v>236</v>
      </c>
    </row>
    <row r="66" spans="2:5" s="351" customFormat="1" x14ac:dyDescent="0.2">
      <c r="B66" s="356"/>
      <c r="C66" s="359"/>
    </row>
    <row r="67" spans="2:5" s="351" customFormat="1" x14ac:dyDescent="0.2">
      <c r="B67" s="356" t="str">
        <f>ORÇ!A274</f>
        <v>12.14</v>
      </c>
      <c r="C67" s="359" t="str">
        <f>ORÇ!D274</f>
        <v>Unidut múltiplo Ø 1"</v>
      </c>
    </row>
    <row r="68" spans="2:5" s="351" customFormat="1" x14ac:dyDescent="0.2">
      <c r="B68" s="356"/>
      <c r="C68" s="359"/>
    </row>
    <row r="69" spans="2:5" s="351" customFormat="1" x14ac:dyDescent="0.2">
      <c r="B69" s="356"/>
      <c r="C69" s="354" t="s">
        <v>317</v>
      </c>
      <c r="D69" s="353">
        <v>4</v>
      </c>
      <c r="E69" s="352" t="s">
        <v>236</v>
      </c>
    </row>
    <row r="70" spans="2:5" s="351" customFormat="1" x14ac:dyDescent="0.2">
      <c r="B70" s="356"/>
      <c r="C70" s="359"/>
    </row>
    <row r="71" spans="2:5" s="351" customFormat="1" x14ac:dyDescent="0.2">
      <c r="B71" s="356" t="str">
        <f>ORÇ!A275</f>
        <v>12.15</v>
      </c>
      <c r="C71" s="359" t="str">
        <f>ORÇ!D275</f>
        <v>Unidut múltiplo Ø 3/4"</v>
      </c>
    </row>
    <row r="72" spans="2:5" s="351" customFormat="1" x14ac:dyDescent="0.2">
      <c r="B72" s="356"/>
      <c r="C72" s="359"/>
    </row>
    <row r="73" spans="2:5" s="351" customFormat="1" x14ac:dyDescent="0.2">
      <c r="B73" s="356"/>
      <c r="C73" s="354" t="s">
        <v>317</v>
      </c>
      <c r="D73" s="353">
        <v>50</v>
      </c>
      <c r="E73" s="352" t="s">
        <v>236</v>
      </c>
    </row>
    <row r="74" spans="2:5" s="351" customFormat="1" x14ac:dyDescent="0.2">
      <c r="B74" s="356"/>
    </row>
    <row r="75" spans="2:5" s="351" customFormat="1" x14ac:dyDescent="0.2">
      <c r="B75" s="356" t="str">
        <f>ORÇ!A276</f>
        <v>12.16</v>
      </c>
      <c r="C75" s="359" t="str">
        <f>ORÇ!D276</f>
        <v>Eletrocalha de metal curve "U"perf. 50x100  - 3m</v>
      </c>
    </row>
    <row r="76" spans="2:5" s="351" customFormat="1" x14ac:dyDescent="0.2">
      <c r="B76" s="356"/>
      <c r="C76" s="359"/>
    </row>
    <row r="77" spans="2:5" s="351" customFormat="1" x14ac:dyDescent="0.2">
      <c r="B77" s="356"/>
      <c r="C77" s="354" t="s">
        <v>317</v>
      </c>
      <c r="D77" s="353">
        <v>40</v>
      </c>
      <c r="E77" s="352" t="s">
        <v>236</v>
      </c>
    </row>
    <row r="78" spans="2:5" s="351" customFormat="1" x14ac:dyDescent="0.2">
      <c r="B78" s="356"/>
      <c r="C78" s="359"/>
    </row>
    <row r="79" spans="2:5" s="351" customFormat="1" x14ac:dyDescent="0.2">
      <c r="B79" s="356" t="str">
        <f>ORÇ!A277</f>
        <v>12.17</v>
      </c>
      <c r="C79" s="359" t="str">
        <f>ORÇ!D277</f>
        <v>Suporte para eletrocalhas</v>
      </c>
    </row>
    <row r="80" spans="2:5" s="351" customFormat="1" x14ac:dyDescent="0.2">
      <c r="B80" s="356"/>
      <c r="C80" s="359"/>
    </row>
    <row r="81" spans="2:5" s="351" customFormat="1" x14ac:dyDescent="0.2">
      <c r="B81" s="356"/>
      <c r="C81" s="354" t="s">
        <v>317</v>
      </c>
      <c r="D81" s="353">
        <v>120</v>
      </c>
      <c r="E81" s="352" t="s">
        <v>17</v>
      </c>
    </row>
    <row r="82" spans="2:5" s="351" customFormat="1" x14ac:dyDescent="0.2">
      <c r="B82" s="356"/>
      <c r="C82" s="359"/>
    </row>
    <row r="83" spans="2:5" s="351" customFormat="1" x14ac:dyDescent="0.2">
      <c r="B83" s="356" t="str">
        <f>ORÇ!A278</f>
        <v>12.18</v>
      </c>
      <c r="C83" s="359" t="str">
        <f>ORÇ!D278</f>
        <v>Eletroduto de F°G° de 3"</v>
      </c>
    </row>
    <row r="84" spans="2:5" s="351" customFormat="1" x14ac:dyDescent="0.2">
      <c r="B84" s="356"/>
      <c r="C84" s="359"/>
    </row>
    <row r="85" spans="2:5" s="351" customFormat="1" x14ac:dyDescent="0.2">
      <c r="B85" s="356"/>
      <c r="C85" s="354" t="s">
        <v>317</v>
      </c>
      <c r="D85" s="353">
        <f>1*6</f>
        <v>6</v>
      </c>
      <c r="E85" s="352" t="s">
        <v>17</v>
      </c>
    </row>
    <row r="86" spans="2:5" s="351" customFormat="1" x14ac:dyDescent="0.2">
      <c r="B86" s="356"/>
      <c r="C86" s="359"/>
    </row>
    <row r="87" spans="2:5" s="351" customFormat="1" x14ac:dyDescent="0.2">
      <c r="B87" s="356" t="str">
        <f>ORÇ!A279</f>
        <v>12.19</v>
      </c>
      <c r="C87" s="359" t="str">
        <f>ORÇ!D279</f>
        <v>FORNECIMENTO E INSTALAÇÃO DE ELETROCALHA COM CONEXÕES E SUPORTE DE FIXAÇÃO</v>
      </c>
    </row>
    <row r="88" spans="2:5" s="351" customFormat="1" x14ac:dyDescent="0.2">
      <c r="B88" s="356"/>
      <c r="C88" s="359"/>
    </row>
    <row r="89" spans="2:5" s="351" customFormat="1" x14ac:dyDescent="0.2">
      <c r="B89" s="356"/>
      <c r="C89" s="354" t="s">
        <v>317</v>
      </c>
      <c r="D89" s="353">
        <f>10*6</f>
        <v>60</v>
      </c>
      <c r="E89" s="352" t="s">
        <v>17</v>
      </c>
    </row>
    <row r="90" spans="2:5" s="351" customFormat="1" x14ac:dyDescent="0.2">
      <c r="B90" s="356"/>
      <c r="C90" s="359"/>
    </row>
    <row r="91" spans="2:5" s="351" customFormat="1" x14ac:dyDescent="0.2">
      <c r="B91" s="356" t="str">
        <f>ORÇ!A280</f>
        <v>12.20</v>
      </c>
      <c r="C91" s="359" t="str">
        <f>ORÇ!D280</f>
        <v>Eletroduto PVC Rígido de 2"</v>
      </c>
    </row>
    <row r="92" spans="2:5" s="351" customFormat="1" x14ac:dyDescent="0.2">
      <c r="B92" s="356"/>
      <c r="C92" s="359"/>
    </row>
    <row r="93" spans="2:5" s="351" customFormat="1" x14ac:dyDescent="0.2">
      <c r="B93" s="356"/>
      <c r="C93" s="354" t="s">
        <v>317</v>
      </c>
      <c r="D93" s="353">
        <f>10*6</f>
        <v>60</v>
      </c>
      <c r="E93" s="352" t="s">
        <v>17</v>
      </c>
    </row>
    <row r="94" spans="2:5" s="351" customFormat="1" x14ac:dyDescent="0.2">
      <c r="B94" s="356"/>
      <c r="C94" s="359"/>
    </row>
    <row r="95" spans="2:5" s="351" customFormat="1" x14ac:dyDescent="0.2">
      <c r="B95" s="356" t="str">
        <f>ORÇ!A281</f>
        <v>12.21</v>
      </c>
      <c r="C95" s="359" t="str">
        <f>ORÇ!D281</f>
        <v>Eletroduto PVC Rígido de 1"</v>
      </c>
    </row>
    <row r="96" spans="2:5" s="351" customFormat="1" x14ac:dyDescent="0.2">
      <c r="B96" s="356"/>
      <c r="C96" s="359"/>
    </row>
    <row r="97" spans="2:5" s="351" customFormat="1" x14ac:dyDescent="0.2">
      <c r="B97" s="356"/>
      <c r="C97" s="354" t="s">
        <v>317</v>
      </c>
      <c r="D97" s="353">
        <f>15*6</f>
        <v>90</v>
      </c>
      <c r="E97" s="352" t="s">
        <v>17</v>
      </c>
    </row>
    <row r="98" spans="2:5" s="351" customFormat="1" x14ac:dyDescent="0.2">
      <c r="B98" s="356"/>
      <c r="C98" s="359"/>
    </row>
    <row r="99" spans="2:5" s="351" customFormat="1" x14ac:dyDescent="0.2">
      <c r="B99" s="356" t="str">
        <f>ORÇ!A282</f>
        <v>12.22</v>
      </c>
      <c r="C99" s="359" t="str">
        <f>ORÇ!D282</f>
        <v>Eletroduto PVC Rígido de 3/4"</v>
      </c>
    </row>
    <row r="100" spans="2:5" s="351" customFormat="1" x14ac:dyDescent="0.2">
      <c r="B100" s="356"/>
      <c r="C100" s="359"/>
    </row>
    <row r="101" spans="2:5" s="351" customFormat="1" x14ac:dyDescent="0.2">
      <c r="B101" s="356"/>
      <c r="C101" s="354" t="s">
        <v>317</v>
      </c>
      <c r="D101" s="353">
        <f>140*6</f>
        <v>840</v>
      </c>
      <c r="E101" s="352" t="s">
        <v>17</v>
      </c>
    </row>
    <row r="102" spans="2:5" s="351" customFormat="1" x14ac:dyDescent="0.2">
      <c r="B102" s="356"/>
      <c r="C102" s="359"/>
    </row>
    <row r="103" spans="2:5" s="351" customFormat="1" x14ac:dyDescent="0.2">
      <c r="B103" s="356" t="str">
        <f>ORÇ!A283</f>
        <v>12.23</v>
      </c>
      <c r="C103" s="359" t="str">
        <f>ORÇ!D283</f>
        <v>Curva  90° p/ elet. F°G° 3" (IE)</v>
      </c>
    </row>
    <row r="104" spans="2:5" s="351" customFormat="1" x14ac:dyDescent="0.2">
      <c r="B104" s="356"/>
      <c r="C104" s="359"/>
    </row>
    <row r="105" spans="2:5" s="351" customFormat="1" x14ac:dyDescent="0.2">
      <c r="B105" s="356"/>
      <c r="C105" s="354" t="s">
        <v>317</v>
      </c>
      <c r="D105" s="353">
        <v>1</v>
      </c>
      <c r="E105" s="352" t="s">
        <v>236</v>
      </c>
    </row>
    <row r="106" spans="2:5" s="351" customFormat="1" x14ac:dyDescent="0.2">
      <c r="B106" s="356"/>
      <c r="C106" s="359"/>
    </row>
    <row r="107" spans="2:5" s="351" customFormat="1" x14ac:dyDescent="0.2">
      <c r="B107" s="356" t="str">
        <f>ORÇ!A284</f>
        <v>12.24</v>
      </c>
      <c r="C107" s="359" t="str">
        <f>ORÇ!D284</f>
        <v>CURVA 90 GRAUS PARA ELETRODUTO, PVC, ROSCÁVEL, DN 85 MM (3") - FORNECIMENTO E INSTALAÇÃO. AF_12/2015</v>
      </c>
    </row>
    <row r="108" spans="2:5" s="351" customFormat="1" x14ac:dyDescent="0.2">
      <c r="B108" s="356"/>
      <c r="C108" s="359"/>
    </row>
    <row r="109" spans="2:5" s="351" customFormat="1" x14ac:dyDescent="0.2">
      <c r="B109" s="356"/>
      <c r="C109" s="354" t="s">
        <v>317</v>
      </c>
      <c r="D109" s="353">
        <v>3</v>
      </c>
      <c r="E109" s="352" t="s">
        <v>236</v>
      </c>
    </row>
    <row r="110" spans="2:5" s="351" customFormat="1" x14ac:dyDescent="0.2">
      <c r="B110" s="356"/>
      <c r="C110" s="359"/>
    </row>
    <row r="111" spans="2:5" s="351" customFormat="1" x14ac:dyDescent="0.2">
      <c r="B111" s="356" t="str">
        <f>ORÇ!A285</f>
        <v>12.25</v>
      </c>
      <c r="C111" s="359" t="str">
        <f>ORÇ!D285</f>
        <v>Curva  90° p/ elet. PVC 2" (IE)</v>
      </c>
    </row>
    <row r="112" spans="2:5" s="351" customFormat="1" x14ac:dyDescent="0.2">
      <c r="B112" s="356"/>
      <c r="C112" s="359"/>
    </row>
    <row r="113" spans="2:14" s="351" customFormat="1" x14ac:dyDescent="0.2">
      <c r="B113" s="356"/>
      <c r="C113" s="354" t="s">
        <v>317</v>
      </c>
      <c r="D113" s="353">
        <v>8</v>
      </c>
      <c r="E113" s="352" t="s">
        <v>236</v>
      </c>
    </row>
    <row r="114" spans="2:14" s="351" customFormat="1" x14ac:dyDescent="0.2">
      <c r="B114" s="356"/>
      <c r="C114" s="359"/>
    </row>
    <row r="115" spans="2:14" s="351" customFormat="1" x14ac:dyDescent="0.2">
      <c r="B115" s="356" t="str">
        <f>ORÇ!A286</f>
        <v>12.26</v>
      </c>
      <c r="C115" s="359" t="str">
        <f>ORÇ!D286</f>
        <v>Curva  90º p/ elet. PVC 1" (IE)</v>
      </c>
    </row>
    <row r="116" spans="2:14" s="351" customFormat="1" x14ac:dyDescent="0.2">
      <c r="B116" s="356"/>
      <c r="C116" s="359"/>
    </row>
    <row r="117" spans="2:14" s="351" customFormat="1" x14ac:dyDescent="0.2">
      <c r="B117" s="356"/>
      <c r="C117" s="354" t="s">
        <v>317</v>
      </c>
      <c r="D117" s="353">
        <v>8</v>
      </c>
      <c r="E117" s="352" t="s">
        <v>236</v>
      </c>
    </row>
    <row r="118" spans="2:14" s="351" customFormat="1" x14ac:dyDescent="0.2">
      <c r="B118" s="356"/>
      <c r="C118" s="359"/>
    </row>
    <row r="119" spans="2:14" s="351" customFormat="1" x14ac:dyDescent="0.2">
      <c r="B119" s="356" t="str">
        <f>ORÇ!A287</f>
        <v>12.27</v>
      </c>
      <c r="C119" s="1979" t="str">
        <f>ORÇ!D287</f>
        <v>CURVA 90 GRAUS PARA ELETRODUTO, PVC, ROSCÁVEL, DN 25 MM (3/4"), PARA CIRCUITOS TERMINAIS, INSTALADA EM FORRO - FORNECIMENTO E INSTALAÇÃO. AF_12/2015</v>
      </c>
      <c r="D119" s="1979"/>
      <c r="E119" s="1979"/>
      <c r="F119" s="1979"/>
      <c r="G119" s="1979"/>
      <c r="H119" s="1979"/>
      <c r="I119" s="1979"/>
      <c r="J119" s="1979"/>
      <c r="K119" s="1979"/>
      <c r="L119" s="1979"/>
      <c r="M119" s="1979"/>
      <c r="N119" s="1979"/>
    </row>
    <row r="120" spans="2:14" s="351" customFormat="1" x14ac:dyDescent="0.2">
      <c r="B120" s="356"/>
      <c r="C120" s="359"/>
    </row>
    <row r="121" spans="2:14" s="351" customFormat="1" x14ac:dyDescent="0.2">
      <c r="B121" s="356"/>
      <c r="C121" s="354" t="s">
        <v>317</v>
      </c>
      <c r="D121" s="353">
        <v>120</v>
      </c>
      <c r="E121" s="352" t="s">
        <v>236</v>
      </c>
    </row>
    <row r="122" spans="2:14" s="351" customFormat="1" x14ac:dyDescent="0.2">
      <c r="B122" s="356"/>
      <c r="C122" s="359"/>
    </row>
    <row r="123" spans="2:14" s="351" customFormat="1" x14ac:dyDescent="0.2">
      <c r="B123" s="356" t="str">
        <f>ORÇ!A288</f>
        <v>12.28</v>
      </c>
      <c r="C123" s="359" t="str">
        <f>ORÇ!D288</f>
        <v>Luva p/ elet. FºGº de 3" (IE)</v>
      </c>
    </row>
    <row r="124" spans="2:14" s="351" customFormat="1" x14ac:dyDescent="0.2">
      <c r="B124" s="356"/>
      <c r="C124" s="359"/>
    </row>
    <row r="125" spans="2:14" s="351" customFormat="1" x14ac:dyDescent="0.2">
      <c r="B125" s="356"/>
      <c r="C125" s="354" t="s">
        <v>317</v>
      </c>
      <c r="D125" s="353">
        <v>2</v>
      </c>
      <c r="E125" s="352" t="s">
        <v>236</v>
      </c>
    </row>
    <row r="126" spans="2:14" s="351" customFormat="1" x14ac:dyDescent="0.2">
      <c r="B126" s="356"/>
      <c r="C126" s="359"/>
    </row>
    <row r="127" spans="2:14" s="351" customFormat="1" x14ac:dyDescent="0.2">
      <c r="B127" s="356" t="str">
        <f>ORÇ!A289</f>
        <v>12.29</v>
      </c>
      <c r="C127" s="359" t="str">
        <f>ORÇ!D289</f>
        <v>LUVA PARA ELETRODUTO, PVC, ROSCÁVEL, DN 85 MM (3") - FORNECIMENTO E INSTALAÇÃO. AF_12/2015</v>
      </c>
    </row>
    <row r="128" spans="2:14" s="351" customFormat="1" x14ac:dyDescent="0.2">
      <c r="B128" s="356"/>
      <c r="C128" s="359"/>
    </row>
    <row r="129" spans="2:14" s="351" customFormat="1" x14ac:dyDescent="0.2">
      <c r="B129" s="356"/>
      <c r="C129" s="354" t="s">
        <v>317</v>
      </c>
      <c r="D129" s="353">
        <v>16</v>
      </c>
      <c r="E129" s="352" t="s">
        <v>236</v>
      </c>
    </row>
    <row r="130" spans="2:14" s="351" customFormat="1" x14ac:dyDescent="0.2">
      <c r="B130" s="356"/>
      <c r="C130" s="359"/>
    </row>
    <row r="131" spans="2:14" s="351" customFormat="1" x14ac:dyDescent="0.2">
      <c r="B131" s="356" t="str">
        <f>ORÇ!A290</f>
        <v>12.30</v>
      </c>
      <c r="C131" s="359" t="str">
        <f>ORÇ!D290</f>
        <v>LUVA PARA ELETRODUTO, PVC, ROSCÁVEL, DN 60 MM (2") - FORNECIMENTO E INSTALAÇÃO. AF_12/2015</v>
      </c>
    </row>
    <row r="132" spans="2:14" s="351" customFormat="1" x14ac:dyDescent="0.2">
      <c r="B132" s="356"/>
      <c r="C132" s="359"/>
    </row>
    <row r="133" spans="2:14" s="351" customFormat="1" x14ac:dyDescent="0.2">
      <c r="B133" s="356"/>
      <c r="C133" s="354" t="s">
        <v>317</v>
      </c>
      <c r="D133" s="353">
        <v>16</v>
      </c>
      <c r="E133" s="352" t="s">
        <v>236</v>
      </c>
    </row>
    <row r="134" spans="2:14" s="351" customFormat="1" x14ac:dyDescent="0.2">
      <c r="B134" s="356"/>
      <c r="C134" s="359"/>
    </row>
    <row r="135" spans="2:14" s="351" customFormat="1" x14ac:dyDescent="0.2">
      <c r="B135" s="356" t="str">
        <f>ORÇ!A291</f>
        <v>12.31</v>
      </c>
      <c r="C135" s="1979" t="str">
        <f>ORÇ!D291</f>
        <v>LUVA PARA ELETRODUTO, PVC, SOLDÁVEL, DN 32 MM (1), APARENTE, INSTALADA EM PAREDE - FORNECIMENTO E INSTALAÇÃO. AF_11/2016_P</v>
      </c>
      <c r="D135" s="1979"/>
      <c r="E135" s="1979"/>
      <c r="F135" s="1979"/>
      <c r="G135" s="1979"/>
      <c r="H135" s="1979"/>
      <c r="I135" s="1979"/>
      <c r="J135" s="1979"/>
      <c r="K135" s="1979"/>
      <c r="L135" s="1979"/>
      <c r="M135" s="1979"/>
      <c r="N135" s="1979"/>
    </row>
    <row r="136" spans="2:14" s="351" customFormat="1" x14ac:dyDescent="0.2">
      <c r="B136" s="356"/>
      <c r="C136" s="359"/>
    </row>
    <row r="137" spans="2:14" s="351" customFormat="1" x14ac:dyDescent="0.2">
      <c r="B137" s="356"/>
      <c r="C137" s="354" t="s">
        <v>317</v>
      </c>
      <c r="D137" s="353">
        <v>25</v>
      </c>
      <c r="E137" s="352" t="s">
        <v>236</v>
      </c>
    </row>
    <row r="138" spans="2:14" s="351" customFormat="1" x14ac:dyDescent="0.2">
      <c r="B138" s="356"/>
      <c r="C138" s="359"/>
    </row>
    <row r="139" spans="2:14" s="351" customFormat="1" x14ac:dyDescent="0.2">
      <c r="B139" s="356" t="str">
        <f>ORÇ!A292</f>
        <v>12.32</v>
      </c>
      <c r="C139" s="1979" t="str">
        <f>ORÇ!D292</f>
        <v>LUVA PARA ELETRODUTO, PVC, SOLDÁVEL, DN 25 MM (3/4), APARENTE, INSTALADA EM TETO - FORNECIMENTO E INSTALAÇÃO. AF_11/2016_P</v>
      </c>
      <c r="D139" s="1979"/>
      <c r="E139" s="1979"/>
      <c r="F139" s="1979"/>
      <c r="G139" s="1979"/>
      <c r="H139" s="1979"/>
      <c r="I139" s="1979"/>
      <c r="J139" s="1979"/>
      <c r="K139" s="1979"/>
      <c r="L139" s="1979"/>
      <c r="M139" s="1979"/>
      <c r="N139" s="1979"/>
    </row>
    <row r="140" spans="2:14" s="351" customFormat="1" x14ac:dyDescent="0.2">
      <c r="B140" s="356"/>
      <c r="C140" s="359"/>
    </row>
    <row r="141" spans="2:14" s="351" customFormat="1" x14ac:dyDescent="0.2">
      <c r="B141" s="356"/>
      <c r="C141" s="354" t="s">
        <v>317</v>
      </c>
      <c r="D141" s="353">
        <v>110</v>
      </c>
      <c r="E141" s="352" t="s">
        <v>236</v>
      </c>
    </row>
    <row r="142" spans="2:14" s="351" customFormat="1" x14ac:dyDescent="0.2">
      <c r="B142" s="356"/>
      <c r="C142" s="359"/>
    </row>
    <row r="143" spans="2:14" s="351" customFormat="1" x14ac:dyDescent="0.2">
      <c r="B143" s="356"/>
      <c r="C143" s="359"/>
    </row>
    <row r="144" spans="2:14" s="351" customFormat="1" x14ac:dyDescent="0.2">
      <c r="B144" s="356" t="str">
        <f>ORÇ!A293</f>
        <v>12.33</v>
      </c>
      <c r="C144" s="359" t="str">
        <f>ORÇ!D293</f>
        <v>Cabo UTP par trançado 04P 24 AWG Cat 6e</v>
      </c>
    </row>
    <row r="145" spans="2:5" s="351" customFormat="1" x14ac:dyDescent="0.2">
      <c r="B145" s="356"/>
      <c r="C145" s="359"/>
    </row>
    <row r="146" spans="2:5" s="351" customFormat="1" x14ac:dyDescent="0.2">
      <c r="B146" s="356"/>
      <c r="C146" s="354" t="s">
        <v>317</v>
      </c>
      <c r="D146" s="353">
        <v>3000</v>
      </c>
      <c r="E146" s="352" t="s">
        <v>17</v>
      </c>
    </row>
    <row r="147" spans="2:5" s="351" customFormat="1" x14ac:dyDescent="0.2">
      <c r="B147" s="356"/>
      <c r="C147" s="359"/>
    </row>
    <row r="148" spans="2:5" s="351" customFormat="1" x14ac:dyDescent="0.2">
      <c r="B148" s="356" t="str">
        <f>ORÇ!A294</f>
        <v>12.34</v>
      </c>
      <c r="C148" s="359" t="str">
        <f>ORÇ!D294</f>
        <v>CABO TELEFÔNICO CCI-50 1 PAR, INSTALADO EM ENTRADA DE EDIFICAÇÃO - FORNECIMENTO E INSTALAÇÃO. AF_11/2019</v>
      </c>
    </row>
    <row r="149" spans="2:5" s="351" customFormat="1" x14ac:dyDescent="0.2">
      <c r="B149" s="356"/>
      <c r="C149" s="359"/>
    </row>
    <row r="150" spans="2:5" s="351" customFormat="1" x14ac:dyDescent="0.2">
      <c r="B150" s="356"/>
      <c r="C150" s="354" t="s">
        <v>317</v>
      </c>
      <c r="D150" s="353">
        <v>30</v>
      </c>
      <c r="E150" s="352" t="s">
        <v>17</v>
      </c>
    </row>
    <row r="151" spans="2:5" s="351" customFormat="1" x14ac:dyDescent="0.2">
      <c r="B151" s="356"/>
      <c r="C151" s="359"/>
    </row>
    <row r="152" spans="2:5" s="351" customFormat="1" x14ac:dyDescent="0.2">
      <c r="B152" s="356" t="str">
        <f>ORÇ!A295</f>
        <v>12.35</v>
      </c>
      <c r="C152" s="359" t="str">
        <f>ORÇ!D295</f>
        <v>Rack 19" 570mm 44U</v>
      </c>
    </row>
    <row r="153" spans="2:5" s="351" customFormat="1" x14ac:dyDescent="0.2">
      <c r="B153" s="356"/>
      <c r="C153" s="359"/>
    </row>
    <row r="154" spans="2:5" s="351" customFormat="1" x14ac:dyDescent="0.2">
      <c r="B154" s="356"/>
      <c r="C154" s="354" t="s">
        <v>317</v>
      </c>
      <c r="D154" s="353">
        <v>1</v>
      </c>
      <c r="E154" s="352" t="s">
        <v>236</v>
      </c>
    </row>
    <row r="155" spans="2:5" s="351" customFormat="1" x14ac:dyDescent="0.2">
      <c r="B155" s="356"/>
      <c r="C155" s="359"/>
    </row>
    <row r="156" spans="2:5" s="351" customFormat="1" x14ac:dyDescent="0.2">
      <c r="B156" s="356" t="str">
        <f>ORÇ!A296</f>
        <v>12.36</v>
      </c>
      <c r="C156" s="359" t="str">
        <f>ORÇ!D296</f>
        <v>Patch panel 24 portas cat 6e</v>
      </c>
    </row>
    <row r="157" spans="2:5" s="351" customFormat="1" x14ac:dyDescent="0.2">
      <c r="B157" s="356"/>
      <c r="C157" s="359"/>
    </row>
    <row r="158" spans="2:5" s="351" customFormat="1" x14ac:dyDescent="0.2">
      <c r="B158" s="356"/>
      <c r="C158" s="354" t="s">
        <v>317</v>
      </c>
      <c r="D158" s="353">
        <v>5</v>
      </c>
      <c r="E158" s="352" t="s">
        <v>236</v>
      </c>
    </row>
    <row r="159" spans="2:5" s="351" customFormat="1" x14ac:dyDescent="0.2">
      <c r="B159" s="356"/>
      <c r="C159" s="359"/>
    </row>
    <row r="160" spans="2:5" s="351" customFormat="1" x14ac:dyDescent="0.2">
      <c r="B160" s="356" t="str">
        <f>ORÇ!A297</f>
        <v>12.37</v>
      </c>
      <c r="C160" s="359" t="str">
        <f>ORÇ!D297</f>
        <v>Patch cable M8V cat 6e 1,5m</v>
      </c>
    </row>
    <row r="161" spans="2:5" s="351" customFormat="1" x14ac:dyDescent="0.2">
      <c r="B161" s="356"/>
      <c r="C161" s="359"/>
    </row>
    <row r="162" spans="2:5" s="351" customFormat="1" x14ac:dyDescent="0.2">
      <c r="B162" s="356"/>
      <c r="C162" s="354" t="s">
        <v>317</v>
      </c>
      <c r="D162" s="353">
        <v>120</v>
      </c>
      <c r="E162" s="352" t="s">
        <v>236</v>
      </c>
    </row>
    <row r="163" spans="2:5" s="351" customFormat="1" x14ac:dyDescent="0.2">
      <c r="B163" s="356"/>
      <c r="C163" s="359"/>
    </row>
  </sheetData>
  <mergeCells count="25">
    <mergeCell ref="C43:N43"/>
    <mergeCell ref="C139:N139"/>
    <mergeCell ref="C135:N135"/>
    <mergeCell ref="C119:N119"/>
    <mergeCell ref="C63:N63"/>
    <mergeCell ref="C59:N59"/>
    <mergeCell ref="A11:N11"/>
    <mergeCell ref="C39:N39"/>
    <mergeCell ref="C35:N35"/>
    <mergeCell ref="C31:N31"/>
    <mergeCell ref="A10:N10"/>
    <mergeCell ref="B4:N4"/>
    <mergeCell ref="A1:N1"/>
    <mergeCell ref="B2:I2"/>
    <mergeCell ref="J2:K2"/>
    <mergeCell ref="L2:N2"/>
    <mergeCell ref="B3:N3"/>
    <mergeCell ref="A9:N9"/>
    <mergeCell ref="B5:G5"/>
    <mergeCell ref="H5:I6"/>
    <mergeCell ref="J5:N6"/>
    <mergeCell ref="A6:A7"/>
    <mergeCell ref="B6:G7"/>
    <mergeCell ref="H7:I7"/>
    <mergeCell ref="J7:N7"/>
  </mergeCells>
  <pageMargins left="0.511811024" right="0.511811024" top="0.78740157499999996" bottom="0.78740157499999996" header="0.31496062000000002" footer="0.31496062000000002"/>
  <pageSetup paperSize="9" scale="68" orientation="portrait" horizontalDpi="360" verticalDpi="360" r:id="rId1"/>
  <rowBreaks count="1" manualBreakCount="1">
    <brk id="155" max="1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view="pageBreakPreview" topLeftCell="A26" zoomScale="85" zoomScaleNormal="100" zoomScaleSheetLayoutView="85" workbookViewId="0">
      <selection activeCell="J42" sqref="J42"/>
    </sheetView>
  </sheetViews>
  <sheetFormatPr defaultRowHeight="12.75" x14ac:dyDescent="0.2"/>
  <cols>
    <col min="1" max="1" width="14.5703125" customWidth="1"/>
    <col min="3" max="3" width="12" customWidth="1"/>
  </cols>
  <sheetData>
    <row r="1" spans="1:17" ht="88.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7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7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7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7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7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7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7" ht="13.5" thickBot="1" x14ac:dyDescent="0.25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</row>
    <row r="9" spans="1:17" ht="13.5" thickBot="1" x14ac:dyDescent="0.25">
      <c r="A9" s="1984" t="s">
        <v>285</v>
      </c>
      <c r="B9" s="1985"/>
      <c r="C9" s="1985"/>
      <c r="D9" s="1985"/>
      <c r="E9" s="1985"/>
      <c r="F9" s="1985"/>
      <c r="G9" s="1985"/>
      <c r="H9" s="1985"/>
      <c r="I9" s="1985"/>
      <c r="J9" s="1985"/>
      <c r="K9" s="1985"/>
      <c r="L9" s="1985"/>
      <c r="M9" s="1985"/>
      <c r="N9" s="1986"/>
    </row>
    <row r="10" spans="1:17" ht="13.5" thickBot="1" x14ac:dyDescent="0.25">
      <c r="A10" s="1984" t="str">
        <f>ORÇ!B3</f>
        <v>CONSTRUÇÃO DO COMPLEXO ADMINISTRATIVO DO MUNICIPIO DE PLACAS</v>
      </c>
      <c r="B10" s="1985"/>
      <c r="C10" s="1985"/>
      <c r="D10" s="1985"/>
      <c r="E10" s="1985"/>
      <c r="F10" s="1985"/>
      <c r="G10" s="1985"/>
      <c r="H10" s="1985"/>
      <c r="I10" s="1985"/>
      <c r="J10" s="1985"/>
      <c r="K10" s="1985"/>
      <c r="L10" s="1985"/>
      <c r="M10" s="1985"/>
      <c r="N10" s="1986"/>
    </row>
    <row r="11" spans="1:17" ht="13.5" thickBot="1" x14ac:dyDescent="0.25">
      <c r="A11" s="1984" t="str">
        <f>ORÇ!D300</f>
        <v>Instalações de Ar Condicionado</v>
      </c>
      <c r="B11" s="1985"/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/>
      <c r="N11" s="1986"/>
    </row>
    <row r="12" spans="1:17" x14ac:dyDescent="0.2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372"/>
      <c r="L12" s="351"/>
      <c r="M12" s="351"/>
      <c r="N12" s="351"/>
    </row>
    <row r="13" spans="1:17" s="351" customFormat="1" x14ac:dyDescent="0.2">
      <c r="B13" s="356">
        <f>ORÇ!A300</f>
        <v>13</v>
      </c>
      <c r="C13" s="359" t="str">
        <f>ORÇ!D300</f>
        <v>Instalações de Ar Condicionado</v>
      </c>
    </row>
    <row r="14" spans="1:17" s="351" customFormat="1" x14ac:dyDescent="0.2">
      <c r="B14" s="356" t="str">
        <f>ORÇ!A301</f>
        <v>13.1</v>
      </c>
      <c r="C14" s="359" t="str">
        <f>ORÇ!D301</f>
        <v>Tubulações e Conexões</v>
      </c>
    </row>
    <row r="15" spans="1:17" s="351" customFormat="1" ht="26.45" customHeight="1" x14ac:dyDescent="0.2">
      <c r="B15" s="356" t="str">
        <f>ORÇ!A302</f>
        <v>13.1.1</v>
      </c>
      <c r="C15" s="1979" t="str">
        <f>ORÇ!D302</f>
        <v>TUBO EM COBRE FLEXÍVEL, DN 1/4, COM ISOLAMENTO, INSTALADO EM RAMAL DE ALIMENTAÇÃO DE AR CONDICIONADO COM CONDENSADORA INDIVIDUAL   FORNECIMENTO E INSTALAÇÃO. AF_12/2015</v>
      </c>
      <c r="D15" s="1979"/>
      <c r="E15" s="1979"/>
      <c r="F15" s="1979"/>
      <c r="G15" s="1979"/>
      <c r="H15" s="1979"/>
      <c r="I15" s="1979"/>
      <c r="J15" s="1979"/>
      <c r="K15" s="1979"/>
      <c r="L15" s="1979"/>
      <c r="M15" s="1979"/>
      <c r="N15" s="1979"/>
    </row>
    <row r="16" spans="1:17" s="351" customFormat="1" x14ac:dyDescent="0.2">
      <c r="B16" s="356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  <c r="Q16" s="885"/>
    </row>
    <row r="17" spans="2:17" s="351" customFormat="1" x14ac:dyDescent="0.2">
      <c r="B17" s="356"/>
      <c r="C17" s="354" t="s">
        <v>317</v>
      </c>
      <c r="D17" s="353">
        <v>15</v>
      </c>
      <c r="E17" s="352" t="s">
        <v>17</v>
      </c>
      <c r="F17" s="885"/>
      <c r="G17" s="885"/>
      <c r="H17" s="885"/>
      <c r="I17" s="885"/>
      <c r="J17" s="885"/>
      <c r="K17" s="885"/>
      <c r="L17" s="885"/>
      <c r="M17" s="885"/>
      <c r="N17" s="885"/>
      <c r="O17" s="885"/>
      <c r="P17" s="885"/>
      <c r="Q17" s="885"/>
    </row>
    <row r="18" spans="2:17" s="351" customFormat="1" x14ac:dyDescent="0.2">
      <c r="B18" s="356"/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  <c r="Q18" s="885"/>
    </row>
    <row r="19" spans="2:17" s="351" customFormat="1" ht="26.45" customHeight="1" x14ac:dyDescent="0.2">
      <c r="B19" s="356" t="str">
        <f>ORÇ!A303</f>
        <v>13.1.2</v>
      </c>
      <c r="C19" s="1979" t="str">
        <f>ORÇ!D303</f>
        <v>TUBO EM COBRE FLEXÍVEL, DN 5/8", COM ISOLAMENTO, INSTALADO EM RAMAL DE ALIMENTAÇÃO DE AR CONDICIONADO COM CONDENSADORA INDIVIDUAL  FORNECIMENTO E INSTALAÇÃO. AF_12/2015</v>
      </c>
      <c r="D19" s="1979"/>
      <c r="E19" s="1979"/>
      <c r="F19" s="1979"/>
      <c r="G19" s="1979"/>
      <c r="H19" s="1979"/>
      <c r="I19" s="1979"/>
      <c r="J19" s="1979"/>
      <c r="K19" s="1979"/>
      <c r="L19" s="1979"/>
      <c r="M19" s="1979"/>
      <c r="N19" s="1979"/>
    </row>
    <row r="20" spans="2:17" s="351" customFormat="1" x14ac:dyDescent="0.2">
      <c r="B20" s="356"/>
      <c r="C20" s="885"/>
      <c r="D20" s="885"/>
      <c r="E20" s="885"/>
      <c r="F20" s="885"/>
      <c r="G20" s="885"/>
      <c r="H20" s="885"/>
      <c r="I20" s="885"/>
      <c r="J20" s="885"/>
      <c r="K20" s="885"/>
      <c r="L20" s="885"/>
      <c r="M20" s="885"/>
      <c r="N20" s="885"/>
      <c r="O20" s="885"/>
      <c r="P20" s="885"/>
      <c r="Q20" s="885"/>
    </row>
    <row r="21" spans="2:17" s="351" customFormat="1" x14ac:dyDescent="0.2">
      <c r="B21" s="356"/>
      <c r="C21" s="354" t="s">
        <v>317</v>
      </c>
      <c r="D21" s="353">
        <v>110</v>
      </c>
      <c r="E21" s="352" t="s">
        <v>17</v>
      </c>
      <c r="F21" s="885"/>
      <c r="G21" s="885"/>
      <c r="H21" s="885"/>
      <c r="I21" s="885"/>
      <c r="J21" s="885"/>
      <c r="K21" s="885"/>
      <c r="L21" s="885"/>
      <c r="M21" s="885"/>
      <c r="N21" s="885"/>
      <c r="O21" s="885"/>
      <c r="P21" s="885"/>
      <c r="Q21" s="885"/>
    </row>
    <row r="22" spans="2:17" s="351" customFormat="1" x14ac:dyDescent="0.2">
      <c r="B22" s="356"/>
      <c r="C22" s="885"/>
      <c r="D22" s="885"/>
      <c r="E22" s="885"/>
      <c r="F22" s="885"/>
      <c r="G22" s="885"/>
      <c r="H22" s="885"/>
      <c r="I22" s="885"/>
      <c r="J22" s="885"/>
      <c r="K22" s="885"/>
      <c r="L22" s="885"/>
      <c r="M22" s="885"/>
      <c r="N22" s="885"/>
      <c r="O22" s="885"/>
      <c r="P22" s="885"/>
      <c r="Q22" s="885"/>
    </row>
    <row r="23" spans="2:17" s="351" customFormat="1" ht="26.45" customHeight="1" x14ac:dyDescent="0.2">
      <c r="B23" s="356" t="str">
        <f>ORÇ!A304</f>
        <v>13.1.3</v>
      </c>
      <c r="C23" s="1979" t="str">
        <f>ORÇ!D304</f>
        <v>TUBO EM COBRE FLEXÍVEL, DN 1/2", COM ISOLAMENTO, INSTALADO EM RAMAL DE ALIMENTAÇÃO DE AR CONDICIONADO COM CONDENSADORA INDIVIDUAL  FORNECIMENTO E INSTALAÇÃO. AF_12/2015</v>
      </c>
      <c r="D23" s="1979"/>
      <c r="E23" s="1979"/>
      <c r="F23" s="1979"/>
      <c r="G23" s="1979"/>
      <c r="H23" s="1979"/>
      <c r="I23" s="1979"/>
      <c r="J23" s="1979"/>
      <c r="K23" s="1979"/>
      <c r="L23" s="1979"/>
      <c r="M23" s="1979"/>
      <c r="N23" s="1979"/>
    </row>
    <row r="24" spans="2:17" s="351" customFormat="1" x14ac:dyDescent="0.2">
      <c r="B24" s="356"/>
      <c r="C24" s="885"/>
      <c r="D24" s="885"/>
      <c r="E24" s="885"/>
      <c r="F24" s="885"/>
      <c r="G24" s="885"/>
      <c r="H24" s="885"/>
      <c r="I24" s="885"/>
      <c r="J24" s="885"/>
      <c r="K24" s="885"/>
      <c r="L24" s="885"/>
      <c r="M24" s="885"/>
      <c r="N24" s="885"/>
      <c r="O24" s="885"/>
      <c r="P24" s="885"/>
      <c r="Q24" s="885"/>
    </row>
    <row r="25" spans="2:17" s="351" customFormat="1" x14ac:dyDescent="0.2">
      <c r="B25" s="356"/>
      <c r="C25" s="354" t="s">
        <v>317</v>
      </c>
      <c r="D25" s="353">
        <v>94</v>
      </c>
      <c r="E25" s="352" t="s">
        <v>17</v>
      </c>
      <c r="F25" s="885"/>
      <c r="G25" s="885"/>
      <c r="H25" s="885"/>
      <c r="I25" s="885"/>
      <c r="J25" s="885"/>
      <c r="K25" s="885"/>
      <c r="L25" s="885"/>
      <c r="M25" s="885"/>
      <c r="N25" s="885"/>
      <c r="O25" s="885"/>
      <c r="P25" s="885"/>
      <c r="Q25" s="885"/>
    </row>
    <row r="26" spans="2:17" s="351" customFormat="1" x14ac:dyDescent="0.2">
      <c r="B26" s="356"/>
      <c r="C26" s="885"/>
      <c r="D26" s="885"/>
      <c r="E26" s="885"/>
      <c r="F26" s="885"/>
      <c r="G26" s="885"/>
      <c r="H26" s="885"/>
      <c r="I26" s="885"/>
      <c r="J26" s="885"/>
      <c r="K26" s="885"/>
      <c r="L26" s="885"/>
      <c r="M26" s="885"/>
      <c r="N26" s="885"/>
      <c r="O26" s="885"/>
      <c r="P26" s="885"/>
      <c r="Q26" s="885"/>
    </row>
    <row r="27" spans="2:17" s="351" customFormat="1" ht="26.45" customHeight="1" x14ac:dyDescent="0.2">
      <c r="B27" s="356" t="str">
        <f>ORÇ!A305</f>
        <v>13.1.4</v>
      </c>
      <c r="C27" s="1979" t="str">
        <f>ORÇ!D305</f>
        <v>TUBO EM COBRE FLEXÍVEL, DN 3/8", COM ISOLAMENTO, INSTALADO EM RAMAL DE ALIMENTAÇÃO DE AR CONDICIONADO COM CONDENSADORA INDIVIDUAL  FORNECIMENTO E INSTALAÇÃO. AF_12/2015</v>
      </c>
      <c r="D27" s="1979"/>
      <c r="E27" s="1979"/>
      <c r="F27" s="1979"/>
      <c r="G27" s="1979"/>
      <c r="H27" s="1979"/>
      <c r="I27" s="1979"/>
      <c r="J27" s="1979"/>
      <c r="K27" s="1979"/>
      <c r="L27" s="1979"/>
      <c r="M27" s="1979"/>
      <c r="N27" s="1979"/>
    </row>
    <row r="28" spans="2:17" s="351" customFormat="1" x14ac:dyDescent="0.2">
      <c r="B28" s="356"/>
      <c r="C28" s="885"/>
      <c r="D28" s="885"/>
      <c r="E28" s="885"/>
      <c r="F28" s="885"/>
      <c r="G28" s="885"/>
      <c r="H28" s="885"/>
      <c r="I28" s="885"/>
      <c r="J28" s="885"/>
      <c r="K28" s="885"/>
      <c r="L28" s="885"/>
      <c r="M28" s="885"/>
      <c r="N28" s="885"/>
      <c r="O28" s="885"/>
      <c r="P28" s="885"/>
      <c r="Q28" s="885"/>
    </row>
    <row r="29" spans="2:17" s="351" customFormat="1" x14ac:dyDescent="0.2">
      <c r="B29" s="356"/>
      <c r="C29" s="354" t="s">
        <v>317</v>
      </c>
      <c r="D29" s="353">
        <v>200</v>
      </c>
      <c r="E29" s="352" t="s">
        <v>17</v>
      </c>
      <c r="F29" s="885"/>
      <c r="G29" s="885"/>
      <c r="H29" s="885"/>
      <c r="I29" s="885"/>
      <c r="J29" s="885"/>
      <c r="K29" s="885"/>
      <c r="L29" s="885"/>
      <c r="M29" s="885"/>
      <c r="N29" s="885"/>
      <c r="O29" s="885"/>
      <c r="P29" s="885"/>
      <c r="Q29" s="885"/>
    </row>
    <row r="30" spans="2:17" s="351" customFormat="1" x14ac:dyDescent="0.2">
      <c r="B30" s="356"/>
      <c r="C30" s="885"/>
      <c r="D30" s="885"/>
      <c r="E30" s="885"/>
      <c r="F30" s="885"/>
      <c r="G30" s="885"/>
      <c r="H30" s="885"/>
      <c r="I30" s="885"/>
      <c r="J30" s="885"/>
      <c r="K30" s="885"/>
      <c r="L30" s="885"/>
      <c r="M30" s="885"/>
      <c r="N30" s="885"/>
      <c r="O30" s="885"/>
      <c r="P30" s="885"/>
      <c r="Q30" s="885"/>
    </row>
    <row r="31" spans="2:17" s="351" customFormat="1" ht="26.45" customHeight="1" x14ac:dyDescent="0.2">
      <c r="B31" s="356" t="str">
        <f>ORÇ!A306</f>
        <v>13.1.5</v>
      </c>
      <c r="C31" s="1979" t="str">
        <f>ORÇ!D306</f>
        <v>TUBO EM COBRE FLEXÍVEL, DN 1/4, COM ISOLAMENTO, INSTALADO EM RAMAL DE ALIMENTAÇÃO DE AR CONDICIONADO COM CONDENSADORA INDIVIDUAL   FORNECIMENTO E INSTALAÇÃO. AF_12/2015</v>
      </c>
      <c r="D31" s="1979"/>
      <c r="E31" s="1979"/>
      <c r="F31" s="1979"/>
      <c r="G31" s="1979"/>
      <c r="H31" s="1979"/>
      <c r="I31" s="1979"/>
      <c r="J31" s="1979"/>
      <c r="K31" s="1979"/>
      <c r="L31" s="1979"/>
      <c r="M31" s="1979"/>
      <c r="N31" s="1979"/>
    </row>
    <row r="32" spans="2:17" s="351" customFormat="1" x14ac:dyDescent="0.2">
      <c r="B32" s="356"/>
      <c r="C32" s="885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</row>
    <row r="33" spans="2:17" s="351" customFormat="1" x14ac:dyDescent="0.2">
      <c r="B33" s="356"/>
      <c r="C33" s="354" t="s">
        <v>317</v>
      </c>
      <c r="D33" s="353">
        <v>130</v>
      </c>
      <c r="E33" s="352" t="s">
        <v>17</v>
      </c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</row>
    <row r="34" spans="2:17" s="351" customFormat="1" x14ac:dyDescent="0.2">
      <c r="B34" s="356"/>
      <c r="C34" s="885"/>
      <c r="D34" s="885"/>
      <c r="E34" s="885"/>
      <c r="F34" s="885"/>
      <c r="G34" s="885"/>
      <c r="H34" s="885"/>
      <c r="I34" s="885"/>
      <c r="J34" s="885"/>
      <c r="K34" s="885"/>
      <c r="L34" s="885"/>
      <c r="M34" s="885"/>
      <c r="N34" s="885"/>
      <c r="O34" s="885"/>
      <c r="P34" s="885"/>
      <c r="Q34" s="885"/>
    </row>
    <row r="35" spans="2:17" s="351" customFormat="1" ht="26.45" customHeight="1" x14ac:dyDescent="0.2">
      <c r="B35" s="356" t="str">
        <f>ORÇ!A307</f>
        <v>13.1.6</v>
      </c>
      <c r="C35" s="1979" t="str">
        <f>ORÇ!D307</f>
        <v>FORNECIMENTO E INSTALAÇÃO DE TUBO DE ESPUMA DE POLIETILENO EXPANDIDO FLEXIVEL PARA ISOLAMENTO TÉRMICO DE TUBULAÇÃO DE AR DN 7/8" E=10MM</v>
      </c>
      <c r="D35" s="1979"/>
      <c r="E35" s="1979"/>
      <c r="F35" s="1979"/>
      <c r="G35" s="1979"/>
      <c r="H35" s="1979"/>
      <c r="I35" s="1979"/>
      <c r="J35" s="1979"/>
      <c r="K35" s="1979"/>
      <c r="L35" s="1979"/>
      <c r="M35" s="1979"/>
      <c r="N35" s="1979"/>
    </row>
    <row r="36" spans="2:17" s="351" customFormat="1" x14ac:dyDescent="0.2">
      <c r="B36" s="356"/>
      <c r="C36" s="359"/>
    </row>
    <row r="37" spans="2:17" s="351" customFormat="1" x14ac:dyDescent="0.2">
      <c r="B37" s="356"/>
      <c r="C37" s="354" t="s">
        <v>317</v>
      </c>
      <c r="D37" s="353">
        <v>70</v>
      </c>
      <c r="E37" s="352" t="s">
        <v>17</v>
      </c>
    </row>
    <row r="38" spans="2:17" s="351" customFormat="1" x14ac:dyDescent="0.2">
      <c r="B38" s="356"/>
      <c r="C38" s="359"/>
    </row>
    <row r="39" spans="2:17" s="351" customFormat="1" ht="26.45" customHeight="1" x14ac:dyDescent="0.2">
      <c r="B39" s="356" t="str">
        <f>ORÇ!A308</f>
        <v>13.1.7</v>
      </c>
      <c r="C39" s="1979" t="str">
        <f>ORÇ!D308</f>
        <v>FORNECIMENTO E INSTALAÇÃO DE TUBO DE ESPUMA DE POLIETILENO EXPANDIDO FLEXIVEL PARA ISOLAMENTO TÉRMICO DE TUBULAÇÃO DE AR DN 3/4" E=10MM</v>
      </c>
      <c r="D39" s="1979"/>
      <c r="E39" s="1979"/>
      <c r="F39" s="1979"/>
      <c r="G39" s="1979"/>
      <c r="H39" s="1979"/>
      <c r="I39" s="1979"/>
      <c r="J39" s="1979"/>
      <c r="K39" s="1979"/>
      <c r="L39" s="1979"/>
      <c r="M39" s="1979"/>
      <c r="N39" s="1979"/>
    </row>
    <row r="40" spans="2:17" s="351" customFormat="1" x14ac:dyDescent="0.2">
      <c r="B40" s="356"/>
      <c r="C40" s="359"/>
    </row>
    <row r="41" spans="2:17" s="351" customFormat="1" x14ac:dyDescent="0.2">
      <c r="B41" s="356"/>
      <c r="C41" s="354" t="s">
        <v>317</v>
      </c>
      <c r="D41" s="353">
        <v>130</v>
      </c>
      <c r="E41" s="352" t="s">
        <v>17</v>
      </c>
    </row>
    <row r="42" spans="2:17" s="351" customFormat="1" x14ac:dyDescent="0.2">
      <c r="B42" s="356"/>
      <c r="C42" s="359"/>
    </row>
    <row r="43" spans="2:17" s="351" customFormat="1" ht="26.45" customHeight="1" x14ac:dyDescent="0.2">
      <c r="B43" s="356" t="str">
        <f>ORÇ!A309</f>
        <v>13.1.8</v>
      </c>
      <c r="C43" s="1979" t="str">
        <f>ORÇ!D309</f>
        <v>FORNECIMENTO E INSTALAÇÃO DE TUBO DE ESPUMA DE POLIETILENO EXPANDIDO FLEXIVEL PARA ISOLAMENTO TÉRMICO DE TUBULAÇÃO DE AR DN 5/8" E=10MM</v>
      </c>
      <c r="D43" s="1979"/>
      <c r="E43" s="1979"/>
      <c r="F43" s="1979"/>
      <c r="G43" s="1979"/>
      <c r="H43" s="1979"/>
      <c r="I43" s="1979"/>
      <c r="J43" s="1979"/>
      <c r="K43" s="1979"/>
      <c r="L43" s="1979"/>
      <c r="M43" s="1979"/>
      <c r="N43" s="1979"/>
    </row>
    <row r="44" spans="2:17" s="351" customFormat="1" x14ac:dyDescent="0.2">
      <c r="B44" s="356"/>
      <c r="C44" s="359"/>
    </row>
    <row r="45" spans="2:17" s="351" customFormat="1" x14ac:dyDescent="0.2">
      <c r="B45" s="356"/>
      <c r="C45" s="354" t="s">
        <v>317</v>
      </c>
      <c r="D45" s="353">
        <v>130</v>
      </c>
      <c r="E45" s="352" t="s">
        <v>17</v>
      </c>
    </row>
    <row r="46" spans="2:17" s="351" customFormat="1" x14ac:dyDescent="0.2">
      <c r="B46" s="356"/>
      <c r="C46" s="359"/>
    </row>
    <row r="47" spans="2:17" s="351" customFormat="1" ht="26.45" customHeight="1" x14ac:dyDescent="0.2">
      <c r="B47" s="356" t="str">
        <f>ORÇ!A310</f>
        <v>13.1.9</v>
      </c>
      <c r="C47" s="1979" t="str">
        <f>ORÇ!D310</f>
        <v>FORNECIMENTO E INSTALAÇÃO DE TUBO DE ESPUMA DE POLIETILENO EXPANDIDO FLEXIVEL PARA ISOLAMENTO TÉRMICO DE TUBULAÇÃO DE AR DN 1/2" E=10MM</v>
      </c>
      <c r="D47" s="1979"/>
      <c r="E47" s="1979"/>
      <c r="F47" s="1979"/>
      <c r="G47" s="1979"/>
      <c r="H47" s="1979"/>
      <c r="I47" s="1979"/>
      <c r="J47" s="1979"/>
      <c r="K47" s="1979"/>
      <c r="L47" s="1979"/>
      <c r="M47" s="1979"/>
      <c r="N47" s="1979"/>
    </row>
    <row r="48" spans="2:17" s="351" customFormat="1" x14ac:dyDescent="0.2">
      <c r="B48" s="356"/>
      <c r="C48" s="359"/>
    </row>
    <row r="49" spans="2:14" s="351" customFormat="1" x14ac:dyDescent="0.2">
      <c r="B49" s="356"/>
      <c r="C49" s="354" t="s">
        <v>317</v>
      </c>
      <c r="D49" s="353">
        <v>120</v>
      </c>
      <c r="E49" s="352" t="s">
        <v>17</v>
      </c>
    </row>
    <row r="50" spans="2:14" s="351" customFormat="1" x14ac:dyDescent="0.2">
      <c r="B50" s="356"/>
      <c r="C50" s="359"/>
    </row>
    <row r="51" spans="2:14" s="351" customFormat="1" ht="26.45" customHeight="1" x14ac:dyDescent="0.2">
      <c r="B51" s="356" t="str">
        <f>ORÇ!A311</f>
        <v>13.1.10</v>
      </c>
      <c r="C51" s="1979" t="str">
        <f>ORÇ!D311</f>
        <v>FORNECIMENTO E INSTALAÇÃO DE TUBO DE ESPUMA DE POLIETILENO EXPANDIDO FLEXIVEL PARA ISOLAMENTO TÉRMICO DE TUBULAÇÃO DE AR DN 3/8" E=10MM</v>
      </c>
      <c r="D51" s="1979"/>
      <c r="E51" s="1979"/>
      <c r="F51" s="1979"/>
      <c r="G51" s="1979"/>
      <c r="H51" s="1979"/>
      <c r="I51" s="1979"/>
      <c r="J51" s="1979"/>
      <c r="K51" s="1979"/>
      <c r="L51" s="1979"/>
      <c r="M51" s="1979"/>
      <c r="N51" s="1979"/>
    </row>
    <row r="52" spans="2:14" s="351" customFormat="1" x14ac:dyDescent="0.2">
      <c r="B52" s="356"/>
      <c r="C52" s="359"/>
    </row>
    <row r="53" spans="2:14" s="351" customFormat="1" x14ac:dyDescent="0.2">
      <c r="B53" s="356"/>
      <c r="C53" s="354" t="s">
        <v>317</v>
      </c>
      <c r="D53" s="353">
        <v>220</v>
      </c>
      <c r="E53" s="352" t="s">
        <v>17</v>
      </c>
    </row>
    <row r="54" spans="2:14" s="351" customFormat="1" x14ac:dyDescent="0.2">
      <c r="B54" s="356"/>
      <c r="C54" s="359"/>
    </row>
    <row r="55" spans="2:14" s="351" customFormat="1" ht="26.45" customHeight="1" x14ac:dyDescent="0.2">
      <c r="B55" s="356" t="str">
        <f>ORÇ!A312</f>
        <v>13.1.11</v>
      </c>
      <c r="C55" s="1979" t="str">
        <f>ORÇ!D312</f>
        <v>FORNECIMENTO E INSTALAÇÃO DE TUBO DE ESPUMA DE POLIETILENO EXPANDIDO FLEXIVEL PARA ISOLAMENTO TÉRMICO DE TUBULAÇÃO DE AR DN 1/4" E=10MM</v>
      </c>
      <c r="D55" s="1979"/>
      <c r="E55" s="1979"/>
      <c r="F55" s="1979"/>
      <c r="G55" s="1979"/>
      <c r="H55" s="1979"/>
      <c r="I55" s="1979"/>
      <c r="J55" s="1979"/>
      <c r="K55" s="1979"/>
      <c r="L55" s="1979"/>
      <c r="M55" s="1979"/>
      <c r="N55" s="1979"/>
    </row>
    <row r="56" spans="2:14" s="351" customFormat="1" x14ac:dyDescent="0.2"/>
    <row r="57" spans="2:14" s="351" customFormat="1" x14ac:dyDescent="0.2">
      <c r="B57" s="356"/>
      <c r="C57" s="354" t="s">
        <v>317</v>
      </c>
      <c r="D57" s="353">
        <v>150</v>
      </c>
      <c r="E57" s="352" t="s">
        <v>17</v>
      </c>
    </row>
    <row r="58" spans="2:14" s="351" customFormat="1" x14ac:dyDescent="0.2">
      <c r="B58" s="356"/>
      <c r="C58" s="359"/>
    </row>
    <row r="59" spans="2:14" x14ac:dyDescent="0.2">
      <c r="B59" s="356" t="str">
        <f>ORÇ!A313</f>
        <v>13.1.12</v>
      </c>
      <c r="C59" s="359" t="str">
        <f>ORÇ!D313</f>
        <v>Ponto de dreno p/ split (10m)</v>
      </c>
    </row>
    <row r="61" spans="2:14" x14ac:dyDescent="0.2">
      <c r="C61" s="354" t="s">
        <v>317</v>
      </c>
      <c r="D61" s="353">
        <v>31</v>
      </c>
      <c r="E61" s="352" t="s">
        <v>96</v>
      </c>
    </row>
  </sheetData>
  <mergeCells count="27">
    <mergeCell ref="C35:N35"/>
    <mergeCell ref="C31:N31"/>
    <mergeCell ref="C27:N27"/>
    <mergeCell ref="C23:N23"/>
    <mergeCell ref="C19:N19"/>
    <mergeCell ref="C55:N55"/>
    <mergeCell ref="C51:N51"/>
    <mergeCell ref="C47:N47"/>
    <mergeCell ref="C43:N43"/>
    <mergeCell ref="C39:N39"/>
    <mergeCell ref="A9:N9"/>
    <mergeCell ref="A10:N10"/>
    <mergeCell ref="A11:N11"/>
    <mergeCell ref="C15:N15"/>
    <mergeCell ref="B5:G5"/>
    <mergeCell ref="H5:I6"/>
    <mergeCell ref="J5:N6"/>
    <mergeCell ref="A6:A7"/>
    <mergeCell ref="B6:G7"/>
    <mergeCell ref="H7:I7"/>
    <mergeCell ref="J7:N7"/>
    <mergeCell ref="B4:N4"/>
    <mergeCell ref="A1:N1"/>
    <mergeCell ref="B2:I2"/>
    <mergeCell ref="J2:K2"/>
    <mergeCell ref="L2:N2"/>
    <mergeCell ref="B3:N3"/>
  </mergeCells>
  <pageMargins left="0.511811024" right="0.511811024" top="0.78740157499999996" bottom="0.78740157499999996" header="0.31496062000000002" footer="0.31496062000000002"/>
  <pageSetup paperSize="9" scale="68"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"/>
  <sheetViews>
    <sheetView view="pageBreakPreview" zoomScale="85" zoomScaleNormal="100" zoomScaleSheetLayoutView="85" workbookViewId="0">
      <selection activeCell="C111" sqref="C111"/>
    </sheetView>
  </sheetViews>
  <sheetFormatPr defaultColWidth="9.140625" defaultRowHeight="12.75" x14ac:dyDescent="0.2"/>
  <cols>
    <col min="1" max="1" width="16.42578125" style="351" customWidth="1"/>
    <col min="2" max="2" width="11.7109375" style="351" customWidth="1"/>
    <col min="3" max="3" width="9.140625" style="351"/>
    <col min="4" max="4" width="15.5703125" style="351" customWidth="1"/>
    <col min="5" max="5" width="9.7109375" style="351" customWidth="1"/>
    <col min="6" max="6" width="17.7109375" style="351" customWidth="1"/>
    <col min="7" max="16384" width="9.140625" style="351"/>
  </cols>
  <sheetData>
    <row r="1" spans="1:14" ht="69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4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4" ht="15" customHeight="1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4" ht="15" customHeight="1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4" ht="15" customHeight="1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4" ht="12.75" customHeight="1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4" ht="27" customHeight="1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4" ht="13.5" thickBot="1" x14ac:dyDescent="0.25"/>
    <row r="9" spans="1:14" ht="14.25" customHeight="1" thickBot="1" x14ac:dyDescent="0.25">
      <c r="A9" s="1984" t="s">
        <v>286</v>
      </c>
      <c r="B9" s="1985"/>
      <c r="C9" s="1985"/>
      <c r="D9" s="1985"/>
      <c r="E9" s="1985"/>
      <c r="F9" s="1985"/>
      <c r="G9" s="1985"/>
      <c r="H9" s="1985"/>
      <c r="I9" s="1985"/>
      <c r="J9" s="1985"/>
      <c r="K9" s="1985"/>
      <c r="L9" s="1985"/>
      <c r="M9" s="1985"/>
      <c r="N9" s="1986"/>
    </row>
    <row r="10" spans="1:14" ht="13.5" thickBot="1" x14ac:dyDescent="0.25">
      <c r="A10" s="1984" t="str">
        <f>ORÇ!B3</f>
        <v>CONSTRUÇÃO DO COMPLEXO ADMINISTRATIVO DO MUNICIPIO DE PLACAS</v>
      </c>
      <c r="B10" s="1985"/>
      <c r="C10" s="1985"/>
      <c r="D10" s="1985"/>
      <c r="E10" s="1985"/>
      <c r="F10" s="1985"/>
      <c r="G10" s="1985"/>
      <c r="H10" s="1985"/>
      <c r="I10" s="1985"/>
      <c r="J10" s="1985"/>
      <c r="K10" s="1985"/>
      <c r="L10" s="1985"/>
      <c r="M10" s="1985"/>
      <c r="N10" s="1986"/>
    </row>
    <row r="11" spans="1:14" ht="13.5" thickBot="1" x14ac:dyDescent="0.25">
      <c r="A11" s="1984" t="str">
        <f>[4]ORÇ!C201</f>
        <v>PREVENÇÃO E COMBATE A INCÊNDIO</v>
      </c>
      <c r="B11" s="1985"/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/>
      <c r="N11" s="1986"/>
    </row>
    <row r="12" spans="1:14" x14ac:dyDescent="0.2">
      <c r="A12" s="367"/>
      <c r="B12" s="367"/>
      <c r="C12" s="367"/>
      <c r="D12" s="367"/>
      <c r="E12" s="367"/>
      <c r="F12" s="367"/>
      <c r="G12" s="367"/>
      <c r="H12" s="367"/>
      <c r="I12" s="367"/>
      <c r="J12" s="367"/>
      <c r="K12" s="372"/>
    </row>
    <row r="13" spans="1:14" ht="15" x14ac:dyDescent="0.2">
      <c r="A13" s="373">
        <f>ORÇ!A382</f>
        <v>15</v>
      </c>
      <c r="B13" s="371" t="s">
        <v>249</v>
      </c>
      <c r="C13" s="367"/>
      <c r="D13" s="367"/>
      <c r="E13" s="367"/>
      <c r="F13" s="367"/>
      <c r="G13" s="367"/>
      <c r="H13" s="367"/>
      <c r="I13" s="367"/>
      <c r="J13" s="367"/>
      <c r="K13" s="372"/>
    </row>
    <row r="14" spans="1:14" ht="15" x14ac:dyDescent="0.2">
      <c r="A14" s="373" t="str">
        <f>ORÇ!A383</f>
        <v>15.1</v>
      </c>
      <c r="B14" s="371" t="str">
        <f>[5]ORÇ!C427</f>
        <v>EXTINTOR INCENDIO TP PO QUIMICO 4KG FORNECIMENTO E COLOCACAO</v>
      </c>
      <c r="C14" s="367"/>
      <c r="D14" s="367"/>
      <c r="E14" s="367"/>
      <c r="F14" s="367"/>
      <c r="G14" s="367"/>
      <c r="H14" s="367"/>
      <c r="I14" s="367"/>
      <c r="J14" s="367"/>
      <c r="K14" s="372"/>
    </row>
    <row r="15" spans="1:14" x14ac:dyDescent="0.2">
      <c r="A15" s="367"/>
      <c r="B15" s="367"/>
      <c r="C15" s="367"/>
      <c r="D15" s="367"/>
      <c r="E15" s="367"/>
      <c r="F15" s="367"/>
      <c r="G15" s="367"/>
      <c r="H15" s="367"/>
      <c r="I15" s="367"/>
      <c r="J15" s="367"/>
      <c r="K15" s="372"/>
    </row>
    <row r="16" spans="1:14" x14ac:dyDescent="0.2">
      <c r="A16" s="367"/>
      <c r="B16" s="573" t="s">
        <v>86</v>
      </c>
      <c r="C16" s="171">
        <v>5</v>
      </c>
      <c r="D16" s="172" t="s">
        <v>78</v>
      </c>
      <c r="E16" s="367"/>
      <c r="F16" s="367"/>
      <c r="G16" s="367"/>
      <c r="H16" s="367"/>
      <c r="I16" s="367"/>
      <c r="J16" s="367"/>
      <c r="K16" s="372"/>
    </row>
    <row r="17" spans="1:14" x14ac:dyDescent="0.2">
      <c r="A17" s="367"/>
      <c r="B17" s="367"/>
      <c r="C17" s="367"/>
      <c r="D17" s="367"/>
      <c r="E17" s="367"/>
      <c r="F17" s="367"/>
      <c r="G17" s="367"/>
      <c r="H17" s="367"/>
      <c r="I17" s="367"/>
      <c r="J17" s="367"/>
      <c r="K17" s="372"/>
    </row>
    <row r="18" spans="1:14" x14ac:dyDescent="0.2">
      <c r="A18" s="367"/>
      <c r="B18" s="367"/>
      <c r="C18" s="367"/>
      <c r="D18" s="367"/>
      <c r="E18" s="367"/>
      <c r="F18" s="367"/>
      <c r="G18" s="367"/>
      <c r="H18" s="367"/>
      <c r="I18" s="367"/>
      <c r="J18" s="367"/>
      <c r="K18" s="372"/>
    </row>
    <row r="19" spans="1:14" ht="30" customHeight="1" x14ac:dyDescent="0.2">
      <c r="A19" s="373" t="str">
        <f>ORÇ!A384</f>
        <v>15.2</v>
      </c>
      <c r="B19" s="1996" t="str">
        <f>[5]ORÇ!C429</f>
        <v xml:space="preserve">PLACA DE SINALIZACAO DE SEGURANCA CONTRA INCENDIO, FOTOLUMINESCENTE, RETANGULAR, *20 X 40* CM, EM PVC *2* MM ANTI-CHAMAS (SIMBOLOS, CORES E PICTOGRAMAS CONFORME NBR 13434) </v>
      </c>
      <c r="C19" s="1996"/>
      <c r="D19" s="1996"/>
      <c r="E19" s="1996"/>
      <c r="F19" s="1996"/>
      <c r="G19" s="1996"/>
      <c r="H19" s="1996"/>
      <c r="I19" s="1996"/>
      <c r="J19" s="1996"/>
      <c r="K19" s="1996"/>
      <c r="L19" s="1996"/>
      <c r="M19" s="1996"/>
      <c r="N19" s="1996"/>
    </row>
    <row r="20" spans="1:14" x14ac:dyDescent="0.2">
      <c r="A20" s="367"/>
      <c r="B20" s="367"/>
      <c r="C20" s="367"/>
      <c r="D20" s="367"/>
      <c r="E20" s="367"/>
      <c r="F20" s="367"/>
      <c r="G20" s="367"/>
      <c r="H20" s="367"/>
      <c r="I20" s="367"/>
      <c r="J20" s="367"/>
      <c r="K20" s="372"/>
    </row>
    <row r="21" spans="1:14" x14ac:dyDescent="0.2">
      <c r="A21" s="367"/>
      <c r="B21" s="573" t="s">
        <v>86</v>
      </c>
      <c r="C21" s="171">
        <f>1+3+6+7</f>
        <v>17</v>
      </c>
      <c r="D21" s="172" t="s">
        <v>78</v>
      </c>
      <c r="E21" s="367"/>
      <c r="F21" s="367"/>
      <c r="G21" s="367"/>
      <c r="H21" s="367"/>
      <c r="I21" s="367"/>
      <c r="J21" s="367"/>
      <c r="K21" s="372"/>
    </row>
    <row r="22" spans="1:14" x14ac:dyDescent="0.2">
      <c r="A22" s="367"/>
      <c r="B22" s="367"/>
      <c r="C22" s="367"/>
      <c r="D22" s="367"/>
      <c r="E22" s="367"/>
      <c r="F22" s="367"/>
      <c r="G22" s="367"/>
      <c r="H22" s="367"/>
      <c r="I22" s="367"/>
      <c r="J22" s="367"/>
      <c r="K22" s="372"/>
    </row>
    <row r="23" spans="1:14" ht="27" customHeight="1" x14ac:dyDescent="0.2">
      <c r="A23" s="373" t="str">
        <f>ORÇ!A385</f>
        <v>15.3</v>
      </c>
      <c r="B23" s="1996" t="str">
        <f>ORÇ!D385</f>
        <v>PLACA DE SINALIZACAO DE SEGURANCA CONTRA INCENDIO, FOTOLUMINESCENTE, QUADRADA, *20 X 20* CM, EM PVC *2* MM ANTI-CHAMAS (SIMBOLOS, CORES E PICTOGRAMAS CONFORME NBR 13434)</v>
      </c>
      <c r="C23" s="1996"/>
      <c r="D23" s="1996"/>
      <c r="E23" s="1996"/>
      <c r="F23" s="1996"/>
      <c r="G23" s="1996"/>
      <c r="H23" s="1996"/>
      <c r="I23" s="1996"/>
      <c r="J23" s="1996"/>
      <c r="K23" s="1996"/>
      <c r="L23" s="1996"/>
      <c r="M23" s="1996"/>
      <c r="N23" s="1996"/>
    </row>
    <row r="24" spans="1:14" x14ac:dyDescent="0.2">
      <c r="A24" s="391"/>
      <c r="B24" s="391"/>
      <c r="C24" s="391"/>
      <c r="D24" s="391"/>
      <c r="E24" s="391"/>
      <c r="F24" s="391"/>
      <c r="G24" s="391"/>
      <c r="H24" s="391"/>
      <c r="I24" s="391"/>
      <c r="J24" s="391"/>
      <c r="K24" s="372"/>
    </row>
    <row r="25" spans="1:14" x14ac:dyDescent="0.2">
      <c r="A25" s="391"/>
      <c r="B25" s="573" t="s">
        <v>86</v>
      </c>
      <c r="C25" s="171">
        <f>5+2+1+2</f>
        <v>10</v>
      </c>
      <c r="D25" s="172" t="s">
        <v>78</v>
      </c>
      <c r="E25" s="391"/>
      <c r="F25" s="391"/>
      <c r="G25" s="391"/>
      <c r="H25" s="391"/>
      <c r="I25" s="391"/>
      <c r="J25" s="391"/>
      <c r="K25" s="372"/>
    </row>
    <row r="27" spans="1:14" ht="15" x14ac:dyDescent="0.2">
      <c r="A27" s="373" t="str">
        <f>ORÇ!A386</f>
        <v>15.4</v>
      </c>
      <c r="B27" s="1996" t="str">
        <f>ORÇ!D386</f>
        <v>LUMINÁRIA DE EMERGÊNCIA, COM 30 LÂMPADAS LED DE 2 W, SEM REATOR - FORNECIMENTO E INSTALAÇÃO. AF_02/2020</v>
      </c>
      <c r="C27" s="1996"/>
      <c r="D27" s="1996"/>
      <c r="E27" s="1996"/>
      <c r="F27" s="1996"/>
      <c r="G27" s="1996"/>
      <c r="H27" s="1996"/>
      <c r="I27" s="1996"/>
      <c r="J27" s="1996"/>
      <c r="K27" s="1996"/>
      <c r="L27" s="1996"/>
      <c r="M27" s="1996"/>
      <c r="N27" s="1996"/>
    </row>
    <row r="28" spans="1:14" x14ac:dyDescent="0.2">
      <c r="B28" s="348"/>
      <c r="C28" s="390"/>
      <c r="D28" s="19"/>
      <c r="E28" s="390"/>
    </row>
    <row r="29" spans="1:14" x14ac:dyDescent="0.2">
      <c r="B29" s="573" t="s">
        <v>86</v>
      </c>
      <c r="C29" s="171">
        <v>20</v>
      </c>
      <c r="D29" s="172" t="s">
        <v>96</v>
      </c>
      <c r="E29" s="390"/>
    </row>
    <row r="31" spans="1:14" ht="15" x14ac:dyDescent="0.2">
      <c r="A31" s="373" t="str">
        <f>ORÇ!A387</f>
        <v>15.5</v>
      </c>
      <c r="B31" s="1996" t="str">
        <f>ORÇ!D387</f>
        <v>SERVIÇO DE SINALIZAÇÃO DE SOLO PARA EQUIPAMENTOS DE COMBATE A INCENDIO, E = 5 CM.</v>
      </c>
      <c r="C31" s="1996"/>
      <c r="D31" s="1996"/>
      <c r="E31" s="1996"/>
      <c r="F31" s="1996"/>
      <c r="G31" s="1996"/>
      <c r="H31" s="1996"/>
      <c r="I31" s="1996"/>
      <c r="J31" s="1996"/>
      <c r="K31" s="1996"/>
      <c r="L31" s="1996"/>
      <c r="M31" s="1996"/>
      <c r="N31" s="1996"/>
    </row>
    <row r="32" spans="1:14" ht="15" x14ac:dyDescent="0.25">
      <c r="A32" s="370"/>
      <c r="B32" s="393"/>
      <c r="C32" s="392"/>
      <c r="D32" s="394"/>
      <c r="E32" s="390"/>
    </row>
    <row r="33" spans="1:14" ht="14.25" x14ac:dyDescent="0.2">
      <c r="A33" s="357"/>
      <c r="B33" s="357"/>
      <c r="C33" s="801" t="s">
        <v>87</v>
      </c>
      <c r="D33" s="802"/>
      <c r="E33" s="357" t="s">
        <v>250</v>
      </c>
      <c r="F33" s="800"/>
      <c r="G33" s="800" t="s">
        <v>255</v>
      </c>
    </row>
    <row r="34" spans="1:14" ht="14.25" x14ac:dyDescent="0.2">
      <c r="A34" s="1997" t="s">
        <v>265</v>
      </c>
      <c r="B34" s="1997"/>
      <c r="C34" s="801">
        <f>1*4</f>
        <v>4</v>
      </c>
      <c r="D34" s="802" t="s">
        <v>71</v>
      </c>
      <c r="E34" s="803">
        <f>C16</f>
        <v>5</v>
      </c>
      <c r="F34" s="800" t="s">
        <v>72</v>
      </c>
      <c r="G34" s="804">
        <f>ROUND(E34*C34,2)</f>
        <v>20</v>
      </c>
    </row>
    <row r="36" spans="1:14" ht="31.5" customHeight="1" x14ac:dyDescent="0.2">
      <c r="A36" s="373" t="str">
        <f>ORÇ!A388</f>
        <v>15.6</v>
      </c>
      <c r="B36" s="1996" t="str">
        <f>ORÇ!D388</f>
        <v>ABRIGO PARA HIDRANTE, 75X45X17CM, COM REGISTRO GLOBO ANGULAR 45 GRAUS 2 1/2", ADAPTADOR STORZ 2 1/2", MANGUEIRA DE INCÊNDIO 15M 2 1/2" E ESGUICHO EM LATÃO 2 1/2" - FORNECIMENTO E INSTALAÇÃO. AF_10/2020</v>
      </c>
      <c r="C36" s="1996"/>
      <c r="D36" s="1996"/>
      <c r="E36" s="1996"/>
      <c r="F36" s="1996"/>
      <c r="G36" s="1996"/>
      <c r="H36" s="1996"/>
      <c r="I36" s="1996"/>
      <c r="J36" s="1996"/>
      <c r="K36" s="1996"/>
      <c r="L36" s="1996"/>
      <c r="M36" s="1996"/>
      <c r="N36" s="1996"/>
    </row>
    <row r="37" spans="1:14" ht="15" x14ac:dyDescent="0.2">
      <c r="A37" s="373"/>
      <c r="B37" s="1089"/>
      <c r="C37" s="1089"/>
      <c r="D37" s="1089"/>
      <c r="E37" s="1089"/>
      <c r="F37" s="1089"/>
      <c r="G37" s="1089"/>
      <c r="H37" s="1089"/>
      <c r="I37" s="1089"/>
      <c r="J37" s="1089"/>
      <c r="K37" s="1089"/>
      <c r="L37" s="1089"/>
      <c r="M37" s="1089"/>
      <c r="N37" s="1089"/>
    </row>
    <row r="38" spans="1:14" ht="15" x14ac:dyDescent="0.2">
      <c r="A38" s="373"/>
      <c r="B38" s="1086" t="s">
        <v>86</v>
      </c>
      <c r="C38" s="171">
        <v>1</v>
      </c>
      <c r="D38" s="172" t="s">
        <v>96</v>
      </c>
      <c r="E38" s="1089"/>
      <c r="F38" s="1089"/>
      <c r="G38" s="1089"/>
      <c r="H38" s="1089"/>
      <c r="I38" s="1089"/>
      <c r="J38" s="1089"/>
      <c r="K38" s="1089"/>
      <c r="L38" s="1089"/>
      <c r="M38" s="1089"/>
      <c r="N38" s="1089"/>
    </row>
    <row r="39" spans="1:14" ht="15" x14ac:dyDescent="0.2">
      <c r="A39" s="373"/>
      <c r="B39" s="1089"/>
      <c r="C39" s="1089"/>
      <c r="D39" s="1089"/>
      <c r="E39" s="1089"/>
      <c r="F39" s="1089"/>
      <c r="G39" s="1089"/>
      <c r="H39" s="1089"/>
      <c r="I39" s="1089"/>
      <c r="J39" s="1089"/>
      <c r="K39" s="1089"/>
      <c r="L39" s="1089"/>
      <c r="M39" s="1089"/>
      <c r="N39" s="1089"/>
    </row>
    <row r="40" spans="1:14" ht="15" x14ac:dyDescent="0.2">
      <c r="A40" s="373" t="str">
        <f>ORÇ!A389</f>
        <v>15.7</v>
      </c>
      <c r="B40" s="1996" t="str">
        <f>ORÇ!D389</f>
        <v xml:space="preserve">REGISTRO DE GAVETA BRUTO, LATÃO, ROSCÁVEL, 3" - FORNECIMENTO E INSTALAÇÃO. AF_08/2021 </v>
      </c>
      <c r="C40" s="1996"/>
      <c r="D40" s="1996"/>
      <c r="E40" s="1996"/>
      <c r="F40" s="1996"/>
      <c r="G40" s="1996"/>
      <c r="H40" s="1996"/>
      <c r="I40" s="1996"/>
      <c r="J40" s="1996"/>
      <c r="K40" s="1996"/>
      <c r="L40" s="1996"/>
      <c r="M40" s="1996"/>
      <c r="N40" s="1996"/>
    </row>
    <row r="41" spans="1:14" ht="15" x14ac:dyDescent="0.2">
      <c r="A41" s="373"/>
      <c r="B41" s="1089"/>
      <c r="C41" s="1089"/>
      <c r="D41" s="1089"/>
      <c r="E41" s="1089"/>
      <c r="F41" s="1089"/>
      <c r="G41" s="1089"/>
      <c r="H41" s="1089"/>
      <c r="I41" s="1089"/>
      <c r="J41" s="1089"/>
      <c r="K41" s="1089"/>
      <c r="L41" s="1089"/>
      <c r="M41" s="1089"/>
      <c r="N41" s="1089"/>
    </row>
    <row r="42" spans="1:14" ht="15" x14ac:dyDescent="0.2">
      <c r="A42" s="373"/>
      <c r="B42" s="1086" t="s">
        <v>86</v>
      </c>
      <c r="C42" s="171">
        <v>2</v>
      </c>
      <c r="D42" s="172" t="s">
        <v>96</v>
      </c>
      <c r="E42" s="1089"/>
      <c r="F42" s="1089"/>
      <c r="G42" s="1089"/>
      <c r="H42" s="1089"/>
      <c r="I42" s="1089"/>
      <c r="J42" s="1089"/>
      <c r="K42" s="1089"/>
      <c r="L42" s="1089"/>
      <c r="M42" s="1089"/>
      <c r="N42" s="1089"/>
    </row>
    <row r="43" spans="1:14" ht="15" x14ac:dyDescent="0.2">
      <c r="A43" s="373"/>
      <c r="B43" s="1089"/>
      <c r="C43" s="1089"/>
      <c r="D43" s="1089"/>
      <c r="E43" s="1089"/>
      <c r="F43" s="1089"/>
      <c r="G43" s="1089"/>
      <c r="H43" s="1089"/>
      <c r="I43" s="1089"/>
      <c r="J43" s="1089"/>
      <c r="K43" s="1089"/>
      <c r="L43" s="1089"/>
      <c r="M43" s="1089"/>
      <c r="N43" s="1089"/>
    </row>
    <row r="44" spans="1:14" ht="31.5" customHeight="1" x14ac:dyDescent="0.2">
      <c r="A44" s="373" t="str">
        <f>ORÇ!A390</f>
        <v>15.8</v>
      </c>
      <c r="B44" s="1996" t="str">
        <f>ORÇ!D390</f>
        <v xml:space="preserve">TUBO DE AÇO GALVANIZADO COM COSTURA, CLASSE MÉDIA, DN 65 (2 1/2"), CONEXÃO ROSQUEADA, INSTALADO EM REDE DE ALIMENTAÇÃO PARA HIDRANTE - FORNECIMENTO E INSTALAÇÃO. AF_10/2020 </v>
      </c>
      <c r="C44" s="1996"/>
      <c r="D44" s="1996"/>
      <c r="E44" s="1996"/>
      <c r="F44" s="1996"/>
      <c r="G44" s="1996"/>
      <c r="H44" s="1996"/>
      <c r="I44" s="1996"/>
      <c r="J44" s="1996"/>
      <c r="K44" s="1996"/>
      <c r="L44" s="1996"/>
      <c r="M44" s="1996"/>
      <c r="N44" s="1996"/>
    </row>
    <row r="45" spans="1:14" ht="15" x14ac:dyDescent="0.2">
      <c r="A45" s="373"/>
      <c r="B45" s="1089"/>
      <c r="C45" s="1089"/>
      <c r="D45" s="1089"/>
      <c r="E45" s="1089"/>
      <c r="F45" s="1089"/>
      <c r="G45" s="1089"/>
      <c r="H45" s="1089"/>
      <c r="I45" s="1089"/>
      <c r="J45" s="1089"/>
      <c r="K45" s="1089"/>
      <c r="L45" s="1089"/>
      <c r="M45" s="1089"/>
      <c r="N45" s="1089"/>
    </row>
    <row r="46" spans="1:14" ht="15" x14ac:dyDescent="0.2">
      <c r="A46" s="373"/>
      <c r="B46" s="1086" t="s">
        <v>86</v>
      </c>
      <c r="C46" s="171">
        <v>67</v>
      </c>
      <c r="D46" s="172" t="s">
        <v>17</v>
      </c>
      <c r="E46" s="1089"/>
      <c r="F46" s="1089"/>
      <c r="G46" s="1089"/>
      <c r="H46" s="1089"/>
      <c r="I46" s="1089"/>
      <c r="J46" s="1089"/>
      <c r="K46" s="1089"/>
      <c r="L46" s="1089"/>
      <c r="M46" s="1089"/>
      <c r="N46" s="1089"/>
    </row>
    <row r="47" spans="1:14" ht="15" x14ac:dyDescent="0.2">
      <c r="A47" s="373"/>
      <c r="B47" s="1089"/>
      <c r="C47" s="1089"/>
      <c r="D47" s="1089"/>
      <c r="E47" s="1089"/>
      <c r="F47" s="1089"/>
      <c r="G47" s="1089"/>
      <c r="H47" s="1089"/>
      <c r="I47" s="1089"/>
      <c r="J47" s="1089"/>
      <c r="K47" s="1089"/>
      <c r="L47" s="1089"/>
      <c r="M47" s="1089"/>
      <c r="N47" s="1089"/>
    </row>
    <row r="48" spans="1:14" ht="34.5" customHeight="1" x14ac:dyDescent="0.2">
      <c r="A48" s="373" t="str">
        <f>ORÇ!A391</f>
        <v>15.9</v>
      </c>
      <c r="B48" s="1996" t="str">
        <f>ORÇ!D391</f>
        <v xml:space="preserve">TUBO DE AÇO GALVANIZADO COM COSTURA, CLASSE MÉDIA, CONEXÃO RANHURADA, DN 80 (3"), INSTALADO EM PRUMADAS - FORNECIMENTO E INSTALAÇÃO. AF_10/2020 </v>
      </c>
      <c r="C48" s="1996"/>
      <c r="D48" s="1996"/>
      <c r="E48" s="1996"/>
      <c r="F48" s="1996"/>
      <c r="G48" s="1996"/>
      <c r="H48" s="1996"/>
      <c r="I48" s="1996"/>
      <c r="J48" s="1996"/>
      <c r="K48" s="1996"/>
      <c r="L48" s="1996"/>
      <c r="M48" s="1996"/>
      <c r="N48" s="1996"/>
    </row>
    <row r="49" spans="1:14" ht="15" x14ac:dyDescent="0.2">
      <c r="A49" s="373"/>
      <c r="B49" s="1089"/>
      <c r="C49" s="1089"/>
      <c r="D49" s="1089"/>
      <c r="E49" s="1089"/>
      <c r="F49" s="1089"/>
      <c r="G49" s="1089"/>
      <c r="H49" s="1089"/>
      <c r="I49" s="1089"/>
      <c r="J49" s="1089"/>
      <c r="K49" s="1089"/>
      <c r="L49" s="1089"/>
      <c r="M49" s="1089"/>
      <c r="N49" s="1089"/>
    </row>
    <row r="50" spans="1:14" ht="15" x14ac:dyDescent="0.2">
      <c r="A50" s="373"/>
      <c r="B50" s="1086" t="s">
        <v>86</v>
      </c>
      <c r="C50" s="171">
        <v>6</v>
      </c>
      <c r="D50" s="172" t="s">
        <v>17</v>
      </c>
      <c r="E50" s="1089"/>
      <c r="F50" s="1089"/>
      <c r="G50" s="1089"/>
      <c r="H50" s="1089"/>
      <c r="I50" s="1089"/>
      <c r="J50" s="1089"/>
      <c r="K50" s="1089"/>
      <c r="L50" s="1089"/>
      <c r="M50" s="1089"/>
      <c r="N50" s="1089"/>
    </row>
    <row r="51" spans="1:14" ht="15" x14ac:dyDescent="0.2">
      <c r="A51" s="373"/>
      <c r="B51" s="1089"/>
      <c r="C51" s="1089"/>
      <c r="D51" s="1089"/>
      <c r="E51" s="1089"/>
      <c r="F51" s="1089"/>
      <c r="G51" s="1089"/>
      <c r="H51" s="1089"/>
      <c r="I51" s="1089"/>
      <c r="J51" s="1089"/>
      <c r="K51" s="1089"/>
      <c r="L51" s="1089"/>
      <c r="M51" s="1089"/>
      <c r="N51" s="1089"/>
    </row>
    <row r="52" spans="1:14" ht="31.5" customHeight="1" x14ac:dyDescent="0.2">
      <c r="A52" s="373" t="str">
        <f>ORÇ!A392</f>
        <v>15.10</v>
      </c>
      <c r="B52" s="1996" t="str">
        <f>ORÇ!D392</f>
        <v>JOELHO 90 GRAUS, EM FERRO GALVANIZADO, DN 65 (2 1/2"), CONEXÃO ROSQUEADA, INSTALADO EM PRUMADAS - FORNECIMENTO E INSTALAÇÃO. AF_10/2020</v>
      </c>
      <c r="C52" s="1996"/>
      <c r="D52" s="1996"/>
      <c r="E52" s="1996"/>
      <c r="F52" s="1996"/>
      <c r="G52" s="1996"/>
      <c r="H52" s="1996"/>
      <c r="I52" s="1996"/>
      <c r="J52" s="1996"/>
      <c r="K52" s="1996"/>
      <c r="L52" s="1996"/>
      <c r="M52" s="1996"/>
      <c r="N52" s="1996"/>
    </row>
    <row r="53" spans="1:14" ht="15" x14ac:dyDescent="0.2">
      <c r="A53" s="373"/>
      <c r="B53" s="1387"/>
      <c r="C53" s="1387"/>
      <c r="D53" s="1387"/>
      <c r="E53" s="1387"/>
      <c r="F53" s="1387"/>
      <c r="G53" s="1387"/>
      <c r="H53" s="1387"/>
      <c r="I53" s="1387"/>
      <c r="J53" s="1387"/>
      <c r="K53" s="1387"/>
      <c r="L53" s="1387"/>
      <c r="M53" s="1387"/>
      <c r="N53" s="1387"/>
    </row>
    <row r="54" spans="1:14" ht="15" x14ac:dyDescent="0.2">
      <c r="A54" s="373"/>
      <c r="B54" s="1383" t="s">
        <v>86</v>
      </c>
      <c r="C54" s="171">
        <v>6</v>
      </c>
      <c r="D54" s="172" t="s">
        <v>96</v>
      </c>
      <c r="E54" s="1387"/>
      <c r="F54" s="1387"/>
      <c r="G54" s="1387"/>
      <c r="H54" s="1387"/>
      <c r="I54" s="1387"/>
      <c r="J54" s="1387"/>
      <c r="K54" s="1387"/>
      <c r="L54" s="1387"/>
      <c r="M54" s="1387"/>
      <c r="N54" s="1387"/>
    </row>
    <row r="55" spans="1:14" ht="15" x14ac:dyDescent="0.2">
      <c r="A55" s="373"/>
      <c r="B55" s="1387"/>
      <c r="C55" s="1387"/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</row>
    <row r="56" spans="1:14" ht="15" x14ac:dyDescent="0.2">
      <c r="A56" s="373" t="str">
        <f>ORÇ!A393</f>
        <v>15.11</v>
      </c>
      <c r="B56" s="1996" t="str">
        <f>ORÇ!D393</f>
        <v>TÊ, EM FERRO GALVANIZADO, DN 65 (2 1/2"), CONEXÃO ROSQUEADA, INSTALADO EM PRUMADAS - FORNECIMENTO E INSTALAÇÃO. AF_10/2020</v>
      </c>
      <c r="C56" s="1996"/>
      <c r="D56" s="1996"/>
      <c r="E56" s="1996"/>
      <c r="F56" s="1996"/>
      <c r="G56" s="1996"/>
      <c r="H56" s="1996"/>
      <c r="I56" s="1996"/>
      <c r="J56" s="1996"/>
      <c r="K56" s="1996"/>
      <c r="L56" s="1996"/>
      <c r="M56" s="1996"/>
      <c r="N56" s="1996"/>
    </row>
    <row r="57" spans="1:14" ht="15" x14ac:dyDescent="0.2">
      <c r="A57" s="373"/>
      <c r="B57" s="1089"/>
      <c r="C57" s="1089"/>
      <c r="D57" s="1089"/>
      <c r="E57" s="1089"/>
      <c r="F57" s="1089"/>
      <c r="G57" s="1089"/>
      <c r="H57" s="1089"/>
      <c r="I57" s="1089"/>
      <c r="J57" s="1089"/>
      <c r="K57" s="1089"/>
      <c r="L57" s="1089"/>
      <c r="M57" s="1089"/>
      <c r="N57" s="1089"/>
    </row>
    <row r="58" spans="1:14" ht="15" x14ac:dyDescent="0.2">
      <c r="A58" s="373"/>
      <c r="B58" s="1086" t="s">
        <v>86</v>
      </c>
      <c r="C58" s="171">
        <v>1</v>
      </c>
      <c r="D58" s="172" t="s">
        <v>96</v>
      </c>
      <c r="E58" s="1089"/>
      <c r="F58" s="1089"/>
      <c r="G58" s="1089"/>
      <c r="H58" s="1089"/>
      <c r="I58" s="1089"/>
      <c r="J58" s="1089"/>
      <c r="K58" s="1089"/>
      <c r="L58" s="1089"/>
      <c r="M58" s="1089"/>
      <c r="N58" s="1089"/>
    </row>
    <row r="59" spans="1:14" ht="15" x14ac:dyDescent="0.2">
      <c r="A59" s="373"/>
      <c r="B59" s="1089"/>
      <c r="C59" s="1089"/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</row>
    <row r="60" spans="1:14" ht="30" customHeight="1" x14ac:dyDescent="0.2">
      <c r="A60" s="373" t="str">
        <f>ORÇ!A394</f>
        <v>15.12</v>
      </c>
      <c r="B60" s="1996" t="str">
        <f>ORÇ!D394</f>
        <v xml:space="preserve">JOELHO 90 GRAUS, EM FERRO GALVANIZADO, CONEXÃO ROSQUEADA, DN 80 (3"), INSTALADO EM REDE DE ALIMENTAÇÃO PARA HIDRANTE - FORNECIMENTO E INSTALAÇÃO. AF_10/2020 </v>
      </c>
      <c r="C60" s="1996"/>
      <c r="D60" s="1996"/>
      <c r="E60" s="1996"/>
      <c r="F60" s="1996"/>
      <c r="G60" s="1996"/>
      <c r="H60" s="1996"/>
      <c r="I60" s="1996"/>
      <c r="J60" s="1996"/>
      <c r="K60" s="1996"/>
      <c r="L60" s="1996"/>
      <c r="M60" s="1996"/>
      <c r="N60" s="1996"/>
    </row>
    <row r="61" spans="1:14" ht="15" x14ac:dyDescent="0.2">
      <c r="A61" s="373"/>
      <c r="B61" s="1089"/>
      <c r="C61" s="1089"/>
      <c r="D61" s="1089"/>
      <c r="E61" s="1089"/>
      <c r="F61" s="1089"/>
      <c r="G61" s="1089"/>
      <c r="H61" s="1089"/>
      <c r="I61" s="1089"/>
      <c r="J61" s="1089"/>
      <c r="K61" s="1089"/>
      <c r="L61" s="1089"/>
      <c r="M61" s="1089"/>
      <c r="N61" s="1089"/>
    </row>
    <row r="62" spans="1:14" ht="15" x14ac:dyDescent="0.2">
      <c r="A62" s="373"/>
      <c r="B62" s="1086" t="s">
        <v>86</v>
      </c>
      <c r="C62" s="171">
        <v>3</v>
      </c>
      <c r="D62" s="172" t="s">
        <v>96</v>
      </c>
      <c r="E62" s="1089"/>
      <c r="F62" s="1089"/>
      <c r="G62" s="1089"/>
      <c r="H62" s="1089"/>
      <c r="I62" s="1089"/>
      <c r="J62" s="1089"/>
      <c r="K62" s="1089"/>
      <c r="L62" s="1089"/>
      <c r="M62" s="1089"/>
      <c r="N62" s="1089"/>
    </row>
    <row r="63" spans="1:14" ht="15" x14ac:dyDescent="0.2">
      <c r="A63" s="373"/>
      <c r="B63" s="1089"/>
      <c r="C63" s="1089"/>
      <c r="D63" s="1089"/>
      <c r="E63" s="1089"/>
      <c r="F63" s="1089"/>
      <c r="G63" s="1089"/>
      <c r="H63" s="1089"/>
      <c r="I63" s="1089"/>
      <c r="J63" s="1089"/>
      <c r="K63" s="1089"/>
      <c r="L63" s="1089"/>
      <c r="M63" s="1089"/>
      <c r="N63" s="1089"/>
    </row>
    <row r="64" spans="1:14" ht="15" x14ac:dyDescent="0.2">
      <c r="A64" s="373" t="str">
        <f>ORÇ!A395</f>
        <v>15.13</v>
      </c>
      <c r="B64" s="1996" t="str">
        <f>ORÇ!D395</f>
        <v>FORNECIMENTO E INSTALAÇÃO DE SIRENE INDUSTRIAL SONORA MOTORIZADA</v>
      </c>
      <c r="C64" s="1996"/>
      <c r="D64" s="1996"/>
      <c r="E64" s="1996"/>
      <c r="F64" s="1996"/>
      <c r="G64" s="1996"/>
      <c r="H64" s="1996"/>
      <c r="I64" s="1996"/>
      <c r="J64" s="1996"/>
      <c r="K64" s="1996"/>
      <c r="L64" s="1996"/>
      <c r="M64" s="1996"/>
      <c r="N64" s="1996"/>
    </row>
    <row r="65" spans="1:14" ht="15" x14ac:dyDescent="0.2">
      <c r="A65" s="373"/>
      <c r="B65" s="1089"/>
      <c r="C65" s="1089"/>
      <c r="D65" s="1089"/>
      <c r="E65" s="1089"/>
      <c r="F65" s="1089"/>
      <c r="G65" s="1089"/>
      <c r="H65" s="1089"/>
      <c r="I65" s="1089"/>
      <c r="J65" s="1089"/>
      <c r="K65" s="1089"/>
      <c r="L65" s="1089"/>
      <c r="M65" s="1089"/>
      <c r="N65" s="1089"/>
    </row>
    <row r="66" spans="1:14" ht="15" x14ac:dyDescent="0.2">
      <c r="A66" s="373"/>
      <c r="B66" s="1086" t="s">
        <v>86</v>
      </c>
      <c r="C66" s="171">
        <v>2</v>
      </c>
      <c r="D66" s="172" t="s">
        <v>96</v>
      </c>
      <c r="E66" s="1089"/>
      <c r="F66" s="1089"/>
      <c r="G66" s="1089"/>
      <c r="H66" s="1089"/>
      <c r="I66" s="1089"/>
      <c r="J66" s="1089"/>
      <c r="K66" s="1089"/>
      <c r="L66" s="1089"/>
      <c r="M66" s="1089"/>
      <c r="N66" s="1089"/>
    </row>
    <row r="67" spans="1:14" ht="15" x14ac:dyDescent="0.2">
      <c r="A67" s="373"/>
      <c r="B67" s="1089"/>
      <c r="C67" s="1089"/>
      <c r="D67" s="1089"/>
      <c r="E67" s="1089"/>
      <c r="F67" s="1089"/>
      <c r="G67" s="1089"/>
      <c r="H67" s="1089"/>
      <c r="I67" s="1089"/>
      <c r="J67" s="1089"/>
      <c r="K67" s="1089"/>
      <c r="L67" s="1089"/>
      <c r="M67" s="1089"/>
      <c r="N67" s="1089"/>
    </row>
    <row r="68" spans="1:14" ht="15" x14ac:dyDescent="0.2">
      <c r="A68" s="373" t="str">
        <f>ORÇ!A396</f>
        <v>15.14</v>
      </c>
      <c r="B68" s="1996" t="str">
        <f>ORÇ!D396</f>
        <v xml:space="preserve">Hidrante de passeio - completo </v>
      </c>
      <c r="C68" s="1996"/>
      <c r="D68" s="1996"/>
      <c r="E68" s="1996"/>
      <c r="F68" s="1996"/>
      <c r="G68" s="1996"/>
      <c r="H68" s="1996"/>
      <c r="I68" s="1996"/>
      <c r="J68" s="1996"/>
      <c r="K68" s="1996"/>
      <c r="L68" s="1996"/>
      <c r="M68" s="1996"/>
      <c r="N68" s="1996"/>
    </row>
    <row r="69" spans="1:14" ht="15" x14ac:dyDescent="0.2">
      <c r="A69" s="373"/>
      <c r="B69" s="1089"/>
      <c r="C69" s="1089"/>
      <c r="D69" s="1089"/>
      <c r="E69" s="1089"/>
      <c r="F69" s="1089"/>
      <c r="G69" s="1089"/>
      <c r="H69" s="1089"/>
      <c r="I69" s="1089"/>
      <c r="J69" s="1089"/>
      <c r="K69" s="1089"/>
      <c r="L69" s="1089"/>
      <c r="M69" s="1089"/>
      <c r="N69" s="1089"/>
    </row>
    <row r="70" spans="1:14" ht="15" x14ac:dyDescent="0.2">
      <c r="A70" s="373"/>
      <c r="B70" s="1086" t="s">
        <v>86</v>
      </c>
      <c r="C70" s="171">
        <v>1</v>
      </c>
      <c r="D70" s="172" t="s">
        <v>96</v>
      </c>
      <c r="E70" s="1089"/>
      <c r="F70" s="1089"/>
      <c r="G70" s="1089"/>
      <c r="H70" s="1089"/>
      <c r="I70" s="1089"/>
      <c r="J70" s="1089"/>
      <c r="K70" s="1089"/>
      <c r="L70" s="1089"/>
      <c r="M70" s="1089"/>
      <c r="N70" s="1089"/>
    </row>
    <row r="71" spans="1:14" ht="15" x14ac:dyDescent="0.2">
      <c r="A71" s="373"/>
      <c r="B71" s="1089"/>
      <c r="C71" s="1089"/>
      <c r="D71" s="1089"/>
      <c r="E71" s="1089"/>
      <c r="F71" s="1089"/>
      <c r="G71" s="1089"/>
      <c r="H71" s="1089"/>
      <c r="I71" s="1089"/>
      <c r="J71" s="1089"/>
      <c r="K71" s="1089"/>
      <c r="L71" s="1089"/>
      <c r="M71" s="1089"/>
      <c r="N71" s="1089"/>
    </row>
    <row r="72" spans="1:14" ht="15" x14ac:dyDescent="0.2">
      <c r="A72" s="373" t="str">
        <f>ORÇ!A397</f>
        <v>15.15</v>
      </c>
      <c r="B72" s="1996" t="str">
        <f>ORÇ!D397</f>
        <v>Fornecimento e instação de Acionador de Sirene</v>
      </c>
      <c r="C72" s="1996"/>
      <c r="D72" s="1996"/>
      <c r="E72" s="1996"/>
      <c r="F72" s="1996"/>
      <c r="G72" s="1996"/>
      <c r="H72" s="1996"/>
      <c r="I72" s="1996"/>
      <c r="J72" s="1996"/>
      <c r="K72" s="1996"/>
      <c r="L72" s="1996"/>
      <c r="M72" s="1996"/>
      <c r="N72" s="1996"/>
    </row>
    <row r="73" spans="1:14" ht="15" x14ac:dyDescent="0.2">
      <c r="A73" s="373"/>
      <c r="B73" s="1089"/>
      <c r="C73" s="1089"/>
      <c r="D73" s="1089"/>
      <c r="E73" s="1089"/>
      <c r="F73" s="1089"/>
      <c r="G73" s="1089"/>
      <c r="H73" s="1089"/>
      <c r="I73" s="1089"/>
      <c r="J73" s="1089"/>
      <c r="K73" s="1089"/>
      <c r="L73" s="1089"/>
      <c r="M73" s="1089"/>
      <c r="N73" s="1089"/>
    </row>
    <row r="74" spans="1:14" ht="15" x14ac:dyDescent="0.2">
      <c r="A74" s="373"/>
      <c r="B74" s="1086" t="s">
        <v>86</v>
      </c>
      <c r="C74" s="171">
        <v>1</v>
      </c>
      <c r="D74" s="172" t="s">
        <v>96</v>
      </c>
      <c r="E74" s="1089"/>
      <c r="F74" s="1089"/>
      <c r="G74" s="1089"/>
      <c r="H74" s="1089"/>
      <c r="I74" s="1089"/>
      <c r="J74" s="1089"/>
      <c r="K74" s="1089"/>
      <c r="L74" s="1089"/>
      <c r="M74" s="1089"/>
      <c r="N74" s="1089"/>
    </row>
    <row r="75" spans="1:14" ht="15" x14ac:dyDescent="0.2">
      <c r="A75" s="373"/>
      <c r="B75" s="1089"/>
      <c r="C75" s="1089"/>
      <c r="D75" s="1089"/>
      <c r="E75" s="1089"/>
      <c r="F75" s="1089"/>
      <c r="G75" s="1089"/>
      <c r="H75" s="1089"/>
      <c r="I75" s="1089"/>
      <c r="J75" s="1089"/>
      <c r="K75" s="1089"/>
      <c r="L75" s="1089"/>
      <c r="M75" s="1089"/>
      <c r="N75" s="1089"/>
    </row>
    <row r="76" spans="1:14" ht="15" x14ac:dyDescent="0.2">
      <c r="A76" s="373" t="str">
        <f>ORÇ!A398</f>
        <v>15.16</v>
      </c>
      <c r="B76" s="1996" t="str">
        <f>ORÇ!D398</f>
        <v>FORNECIMENTO E INSTALAÇÃO DE BOTOEIRA PARA ACIONAMENTO DE BOMBA DE INCENDIO QUEBRA VIDRO</v>
      </c>
      <c r="C76" s="1996"/>
      <c r="D76" s="1996"/>
      <c r="E76" s="1996"/>
      <c r="F76" s="1996"/>
      <c r="G76" s="1996"/>
      <c r="H76" s="1996"/>
      <c r="I76" s="1996"/>
      <c r="J76" s="1996"/>
      <c r="K76" s="1996"/>
      <c r="L76" s="1996"/>
      <c r="M76" s="1996"/>
      <c r="N76" s="1996"/>
    </row>
    <row r="77" spans="1:14" ht="15" x14ac:dyDescent="0.2">
      <c r="A77" s="373"/>
      <c r="B77" s="1089"/>
      <c r="C77" s="1089"/>
      <c r="D77" s="1089"/>
      <c r="E77" s="1089"/>
      <c r="F77" s="1089"/>
      <c r="G77" s="1089"/>
      <c r="H77" s="1089"/>
      <c r="I77" s="1089"/>
      <c r="J77" s="1089"/>
      <c r="K77" s="1089"/>
      <c r="L77" s="1089"/>
      <c r="M77" s="1089"/>
      <c r="N77" s="1089"/>
    </row>
    <row r="78" spans="1:14" ht="15" x14ac:dyDescent="0.2">
      <c r="A78" s="373"/>
      <c r="B78" s="1086" t="s">
        <v>86</v>
      </c>
      <c r="C78" s="171">
        <v>2</v>
      </c>
      <c r="D78" s="172" t="s">
        <v>96</v>
      </c>
      <c r="E78" s="1089"/>
      <c r="F78" s="1089"/>
      <c r="G78" s="1089"/>
      <c r="H78" s="1089"/>
      <c r="I78" s="1089"/>
      <c r="J78" s="1089"/>
      <c r="K78" s="1089"/>
      <c r="L78" s="1089"/>
      <c r="M78" s="1089"/>
      <c r="N78" s="1089"/>
    </row>
    <row r="79" spans="1:14" ht="15" x14ac:dyDescent="0.2">
      <c r="A79" s="373"/>
      <c r="B79" s="1089"/>
      <c r="C79" s="1089"/>
      <c r="D79" s="1089"/>
      <c r="E79" s="1089"/>
      <c r="F79" s="1089"/>
      <c r="G79" s="1089"/>
      <c r="H79" s="1089"/>
      <c r="I79" s="1089"/>
      <c r="J79" s="1089"/>
      <c r="K79" s="1089"/>
      <c r="L79" s="1089"/>
      <c r="M79" s="1089"/>
      <c r="N79" s="1089"/>
    </row>
    <row r="80" spans="1:14" ht="15" x14ac:dyDescent="0.2">
      <c r="A80" s="373" t="str">
        <f>ORÇ!A399</f>
        <v>15.17</v>
      </c>
      <c r="B80" s="1996" t="str">
        <f>ORÇ!D399</f>
        <v>MANÔMETRO 0 A 200 PSI (0 A 14 KGF/CM2), D = 50MM - FORNECIMENTO E INSTALAÇÃO. AF_10/2020</v>
      </c>
      <c r="C80" s="1996"/>
      <c r="D80" s="1996"/>
      <c r="E80" s="1996"/>
      <c r="F80" s="1996"/>
      <c r="G80" s="1996"/>
      <c r="H80" s="1996"/>
      <c r="I80" s="1996"/>
      <c r="J80" s="1996"/>
      <c r="K80" s="1996"/>
      <c r="L80" s="1996"/>
      <c r="M80" s="1996"/>
      <c r="N80" s="1996"/>
    </row>
    <row r="81" spans="1:14" ht="15" x14ac:dyDescent="0.2">
      <c r="A81" s="373"/>
      <c r="B81" s="1089"/>
      <c r="C81" s="1089"/>
      <c r="D81" s="1089"/>
      <c r="E81" s="1089"/>
      <c r="F81" s="1089"/>
      <c r="G81" s="1089"/>
      <c r="H81" s="1089"/>
      <c r="I81" s="1089"/>
      <c r="J81" s="1089"/>
      <c r="K81" s="1089"/>
      <c r="L81" s="1089"/>
      <c r="M81" s="1089"/>
      <c r="N81" s="1089"/>
    </row>
    <row r="82" spans="1:14" ht="15" x14ac:dyDescent="0.2">
      <c r="A82" s="373"/>
      <c r="B82" s="1086" t="s">
        <v>86</v>
      </c>
      <c r="C82" s="171">
        <v>1</v>
      </c>
      <c r="D82" s="172" t="s">
        <v>96</v>
      </c>
      <c r="E82" s="1089"/>
      <c r="F82" s="1089"/>
      <c r="G82" s="1089"/>
      <c r="H82" s="1089"/>
      <c r="I82" s="1089"/>
      <c r="J82" s="1089"/>
      <c r="K82" s="1089"/>
      <c r="L82" s="1089"/>
      <c r="M82" s="1089"/>
      <c r="N82" s="1089"/>
    </row>
    <row r="83" spans="1:14" ht="15" x14ac:dyDescent="0.2">
      <c r="A83" s="373"/>
      <c r="B83" s="1089"/>
      <c r="C83" s="1089"/>
      <c r="D83" s="1089"/>
      <c r="E83" s="1089"/>
      <c r="F83" s="1089"/>
      <c r="G83" s="1089"/>
      <c r="H83" s="1089"/>
      <c r="I83" s="1089"/>
      <c r="J83" s="1089"/>
      <c r="K83" s="1089"/>
      <c r="L83" s="1089"/>
      <c r="M83" s="1089"/>
      <c r="N83" s="1089"/>
    </row>
    <row r="84" spans="1:14" ht="15" x14ac:dyDescent="0.2">
      <c r="A84" s="373" t="str">
        <f>ORÇ!A400</f>
        <v>15.18</v>
      </c>
      <c r="B84" s="1996" t="str">
        <f>ORÇ!D400</f>
        <v>Bomba centrifuga 7.5 CV (sem tubulação)</v>
      </c>
      <c r="C84" s="1996"/>
      <c r="D84" s="1996"/>
      <c r="E84" s="1996"/>
      <c r="F84" s="1996"/>
      <c r="G84" s="1996"/>
      <c r="H84" s="1996"/>
      <c r="I84" s="1996"/>
      <c r="J84" s="1996"/>
      <c r="K84" s="1996"/>
      <c r="L84" s="1996"/>
      <c r="M84" s="1996"/>
      <c r="N84" s="1996"/>
    </row>
    <row r="85" spans="1:14" ht="15" x14ac:dyDescent="0.2">
      <c r="A85" s="373"/>
      <c r="B85" s="1089"/>
      <c r="C85" s="1089"/>
      <c r="D85" s="1089"/>
      <c r="E85" s="1089"/>
      <c r="F85" s="1089"/>
      <c r="G85" s="1089"/>
      <c r="H85" s="1089"/>
      <c r="I85" s="1089"/>
      <c r="J85" s="1089"/>
      <c r="K85" s="1089"/>
      <c r="L85" s="1089"/>
      <c r="M85" s="1089"/>
      <c r="N85" s="1089"/>
    </row>
    <row r="86" spans="1:14" ht="15" x14ac:dyDescent="0.2">
      <c r="A86" s="373"/>
      <c r="B86" s="1086" t="s">
        <v>86</v>
      </c>
      <c r="C86" s="171">
        <v>1</v>
      </c>
      <c r="D86" s="172" t="s">
        <v>96</v>
      </c>
      <c r="E86" s="1089"/>
      <c r="F86" s="1089"/>
      <c r="G86" s="1089"/>
      <c r="H86" s="1089"/>
      <c r="I86" s="1089"/>
      <c r="J86" s="1089"/>
      <c r="K86" s="1089"/>
      <c r="L86" s="1089"/>
      <c r="M86" s="1089"/>
      <c r="N86" s="1089"/>
    </row>
    <row r="87" spans="1:14" ht="15" x14ac:dyDescent="0.2">
      <c r="A87" s="373"/>
      <c r="B87" s="1089"/>
      <c r="C87" s="1089"/>
      <c r="D87" s="1089"/>
      <c r="E87" s="1089"/>
      <c r="F87" s="1089"/>
      <c r="G87" s="1089"/>
      <c r="H87" s="1089"/>
      <c r="I87" s="1089"/>
      <c r="J87" s="1089"/>
      <c r="K87" s="1089"/>
      <c r="L87" s="1089"/>
      <c r="M87" s="1089"/>
      <c r="N87" s="1089"/>
    </row>
    <row r="88" spans="1:14" ht="15" x14ac:dyDescent="0.2">
      <c r="A88" s="373" t="str">
        <f>ORÇ!A401</f>
        <v>15.19</v>
      </c>
      <c r="B88" s="1996" t="str">
        <f>ORÇ!D401</f>
        <v>FORNECIMENTO E INSTALAÇÃO DE PRESSOSTATO ALTA/BAIXA COM REARME MANUAL REF. KP15</v>
      </c>
      <c r="C88" s="1996"/>
      <c r="D88" s="1996"/>
      <c r="E88" s="1996"/>
      <c r="F88" s="1996"/>
      <c r="G88" s="1996"/>
      <c r="H88" s="1996"/>
      <c r="I88" s="1996"/>
      <c r="J88" s="1996"/>
      <c r="K88" s="1996"/>
      <c r="L88" s="1996"/>
      <c r="M88" s="1996"/>
      <c r="N88" s="1996"/>
    </row>
    <row r="89" spans="1:14" ht="15" x14ac:dyDescent="0.2">
      <c r="A89" s="373"/>
      <c r="B89" s="1089"/>
      <c r="C89" s="1089"/>
      <c r="D89" s="1089"/>
      <c r="E89" s="1089"/>
      <c r="F89" s="1089"/>
      <c r="G89" s="1089"/>
      <c r="H89" s="1089"/>
      <c r="I89" s="1089"/>
      <c r="J89" s="1089"/>
      <c r="K89" s="1089"/>
      <c r="L89" s="1089"/>
      <c r="M89" s="1089"/>
      <c r="N89" s="1089"/>
    </row>
    <row r="90" spans="1:14" ht="15" x14ac:dyDescent="0.2">
      <c r="A90" s="373"/>
      <c r="B90" s="1086" t="s">
        <v>86</v>
      </c>
      <c r="C90" s="171">
        <v>1</v>
      </c>
      <c r="D90" s="172" t="s">
        <v>96</v>
      </c>
      <c r="E90" s="1089"/>
      <c r="F90" s="1089"/>
      <c r="G90" s="1089"/>
      <c r="H90" s="1089"/>
      <c r="I90" s="1089"/>
      <c r="J90" s="1089"/>
      <c r="K90" s="1089"/>
      <c r="L90" s="1089"/>
      <c r="M90" s="1089"/>
      <c r="N90" s="1089"/>
    </row>
    <row r="91" spans="1:14" ht="15" x14ac:dyDescent="0.2">
      <c r="A91" s="373"/>
      <c r="B91" s="1089"/>
      <c r="C91" s="1089"/>
      <c r="D91" s="1089"/>
      <c r="E91" s="1089"/>
      <c r="F91" s="1089"/>
      <c r="G91" s="1089"/>
      <c r="H91" s="1089"/>
      <c r="I91" s="1089"/>
      <c r="J91" s="1089"/>
      <c r="K91" s="1089"/>
      <c r="L91" s="1089"/>
      <c r="M91" s="1089"/>
      <c r="N91" s="1089"/>
    </row>
    <row r="92" spans="1:14" ht="15" x14ac:dyDescent="0.2">
      <c r="A92" s="373" t="str">
        <f>ORÇ!A402</f>
        <v>15.20</v>
      </c>
      <c r="B92" s="1996" t="str">
        <f>ORÇ!D402</f>
        <v>Fornecimento e instalação de União assento conico galvanizado 2.1/2"</v>
      </c>
      <c r="C92" s="1996"/>
      <c r="D92" s="1996"/>
      <c r="E92" s="1996"/>
      <c r="F92" s="1996"/>
      <c r="G92" s="1996"/>
      <c r="H92" s="1996"/>
      <c r="I92" s="1996"/>
      <c r="J92" s="1996"/>
      <c r="K92" s="1996"/>
      <c r="L92" s="1996"/>
      <c r="M92" s="1996"/>
      <c r="N92" s="1996"/>
    </row>
    <row r="93" spans="1:14" ht="15" x14ac:dyDescent="0.2">
      <c r="A93" s="373"/>
      <c r="B93" s="1089"/>
      <c r="C93" s="1089"/>
      <c r="D93" s="1089"/>
      <c r="E93" s="1089"/>
      <c r="F93" s="1089"/>
      <c r="G93" s="1089"/>
      <c r="H93" s="1089"/>
      <c r="I93" s="1089"/>
      <c r="J93" s="1089"/>
      <c r="K93" s="1089"/>
      <c r="L93" s="1089"/>
      <c r="M93" s="1089"/>
      <c r="N93" s="1089"/>
    </row>
    <row r="94" spans="1:14" ht="15" x14ac:dyDescent="0.2">
      <c r="A94" s="373"/>
      <c r="B94" s="1086" t="s">
        <v>86</v>
      </c>
      <c r="C94" s="171">
        <v>1</v>
      </c>
      <c r="D94" s="172" t="s">
        <v>96</v>
      </c>
      <c r="E94" s="1089"/>
      <c r="F94" s="1089"/>
      <c r="G94" s="1089"/>
      <c r="H94" s="1089"/>
      <c r="I94" s="1089"/>
      <c r="J94" s="1089"/>
      <c r="K94" s="1089"/>
      <c r="L94" s="1089"/>
      <c r="M94" s="1089"/>
      <c r="N94" s="1089"/>
    </row>
    <row r="95" spans="1:14" ht="15" x14ac:dyDescent="0.2">
      <c r="A95" s="373"/>
      <c r="B95" s="1089"/>
      <c r="C95" s="1089"/>
      <c r="D95" s="1089"/>
      <c r="E95" s="1089"/>
      <c r="F95" s="1089"/>
      <c r="G95" s="1089"/>
      <c r="H95" s="1089"/>
      <c r="I95" s="1089"/>
      <c r="J95" s="1089"/>
      <c r="K95" s="1089"/>
      <c r="L95" s="1089"/>
      <c r="M95" s="1089"/>
      <c r="N95" s="1089"/>
    </row>
    <row r="96" spans="1:14" ht="15" x14ac:dyDescent="0.2">
      <c r="A96" s="373" t="str">
        <f>ORÇ!A403</f>
        <v>15.21</v>
      </c>
      <c r="B96" s="1996" t="str">
        <f>ORÇ!D403</f>
        <v>Fornecimento e instalação de União assento conico galvanizado 3"</v>
      </c>
      <c r="C96" s="1996"/>
      <c r="D96" s="1996"/>
      <c r="E96" s="1996"/>
      <c r="F96" s="1996"/>
      <c r="G96" s="1996"/>
      <c r="H96" s="1996"/>
      <c r="I96" s="1996"/>
      <c r="J96" s="1996"/>
      <c r="K96" s="1996"/>
      <c r="L96" s="1996"/>
      <c r="M96" s="1996"/>
      <c r="N96" s="1996"/>
    </row>
    <row r="97" spans="1:14" ht="15" x14ac:dyDescent="0.2">
      <c r="A97" s="373"/>
      <c r="B97" s="1089"/>
      <c r="C97" s="1089"/>
      <c r="D97" s="1089"/>
      <c r="E97" s="1089"/>
      <c r="F97" s="1089"/>
      <c r="G97" s="1089"/>
      <c r="H97" s="1089"/>
      <c r="I97" s="1089"/>
      <c r="J97" s="1089"/>
      <c r="K97" s="1089"/>
      <c r="L97" s="1089"/>
      <c r="M97" s="1089"/>
      <c r="N97" s="1089"/>
    </row>
    <row r="98" spans="1:14" ht="15" x14ac:dyDescent="0.2">
      <c r="A98" s="373"/>
      <c r="B98" s="1086" t="s">
        <v>86</v>
      </c>
      <c r="C98" s="171">
        <v>1</v>
      </c>
      <c r="D98" s="172" t="s">
        <v>96</v>
      </c>
      <c r="E98" s="1089"/>
      <c r="F98" s="1089"/>
      <c r="G98" s="1089"/>
      <c r="H98" s="1089"/>
      <c r="I98" s="1089"/>
      <c r="J98" s="1089"/>
      <c r="K98" s="1089"/>
      <c r="L98" s="1089"/>
      <c r="M98" s="1089"/>
      <c r="N98" s="1089"/>
    </row>
    <row r="99" spans="1:14" ht="15" x14ac:dyDescent="0.2">
      <c r="A99" s="373"/>
      <c r="B99" s="1089"/>
      <c r="C99" s="1089"/>
      <c r="D99" s="1089"/>
      <c r="E99" s="1089"/>
      <c r="F99" s="1089"/>
      <c r="G99" s="1089"/>
      <c r="H99" s="1089"/>
      <c r="I99" s="1089"/>
      <c r="J99" s="1089"/>
      <c r="K99" s="1089"/>
      <c r="L99" s="1089"/>
      <c r="M99" s="1089"/>
      <c r="N99" s="1089"/>
    </row>
    <row r="100" spans="1:14" ht="15" x14ac:dyDescent="0.2">
      <c r="A100" s="373" t="str">
        <f>ORÇ!A404</f>
        <v>15.22</v>
      </c>
      <c r="B100" s="1996" t="str">
        <f>ORÇ!D404</f>
        <v>FORNECIMENTO E INSTALAÇÃO DE TÊ DE REDUCAO DE FERRO GALVANIZADO, COM ROSCA BSP, DE 3" X 2 1/2"</v>
      </c>
      <c r="C100" s="1996"/>
      <c r="D100" s="1996"/>
      <c r="E100" s="1996"/>
      <c r="F100" s="1996"/>
      <c r="G100" s="1996"/>
      <c r="H100" s="1996"/>
      <c r="I100" s="1996"/>
      <c r="J100" s="1996"/>
      <c r="K100" s="1996"/>
      <c r="L100" s="1996"/>
      <c r="M100" s="1996"/>
      <c r="N100" s="1996"/>
    </row>
    <row r="101" spans="1:14" ht="15" x14ac:dyDescent="0.2">
      <c r="A101" s="373"/>
      <c r="B101" s="1089"/>
      <c r="C101" s="1089"/>
      <c r="D101" s="1089"/>
      <c r="E101" s="1089"/>
      <c r="F101" s="1089"/>
      <c r="G101" s="1089"/>
      <c r="H101" s="1089"/>
      <c r="I101" s="1089"/>
      <c r="J101" s="1089"/>
      <c r="K101" s="1089"/>
      <c r="L101" s="1089"/>
      <c r="M101" s="1089"/>
      <c r="N101" s="1089"/>
    </row>
    <row r="102" spans="1:14" ht="15" x14ac:dyDescent="0.2">
      <c r="A102" s="373"/>
      <c r="B102" s="1086" t="s">
        <v>86</v>
      </c>
      <c r="C102" s="171">
        <v>1</v>
      </c>
      <c r="D102" s="172" t="s">
        <v>96</v>
      </c>
      <c r="E102" s="1089"/>
      <c r="F102" s="1089"/>
      <c r="G102" s="1089"/>
      <c r="H102" s="1089"/>
      <c r="I102" s="1089"/>
      <c r="J102" s="1089"/>
      <c r="K102" s="1089"/>
      <c r="L102" s="1089"/>
      <c r="M102" s="1089"/>
      <c r="N102" s="1089"/>
    </row>
    <row r="103" spans="1:14" ht="15" x14ac:dyDescent="0.2">
      <c r="A103" s="373"/>
      <c r="B103" s="1089"/>
      <c r="C103" s="1089"/>
      <c r="D103" s="1089"/>
      <c r="E103" s="1089"/>
      <c r="F103" s="1089"/>
      <c r="G103" s="1089"/>
      <c r="H103" s="1089"/>
      <c r="I103" s="1089"/>
      <c r="J103" s="1089"/>
      <c r="K103" s="1089"/>
      <c r="L103" s="1089"/>
      <c r="M103" s="1089"/>
      <c r="N103" s="1089"/>
    </row>
    <row r="104" spans="1:14" ht="15" x14ac:dyDescent="0.2">
      <c r="A104" s="373" t="str">
        <f>ORÇ!A405</f>
        <v>15.23</v>
      </c>
      <c r="B104" s="1996" t="str">
        <f>ORÇ!D405</f>
        <v xml:space="preserve">VÁLVULA DE RETENÇÃO HORIZONTAL, DE BRONZE, ROSCÁVEL, 2 1/2" - FORNECIMENTO E INSTALAÇÃO. AF_08/2021 </v>
      </c>
      <c r="C104" s="1996"/>
      <c r="D104" s="1996"/>
      <c r="E104" s="1996"/>
      <c r="F104" s="1996"/>
      <c r="G104" s="1996"/>
      <c r="H104" s="1996"/>
      <c r="I104" s="1996"/>
      <c r="J104" s="1996"/>
      <c r="K104" s="1996"/>
      <c r="L104" s="1996"/>
      <c r="M104" s="1996"/>
      <c r="N104" s="1996"/>
    </row>
    <row r="105" spans="1:14" ht="15" x14ac:dyDescent="0.2">
      <c r="A105" s="373"/>
      <c r="B105" s="1089"/>
      <c r="C105" s="1089"/>
      <c r="D105" s="1089"/>
      <c r="E105" s="1089"/>
      <c r="F105" s="1089"/>
      <c r="G105" s="1089"/>
      <c r="H105" s="1089"/>
      <c r="I105" s="1089"/>
      <c r="J105" s="1089"/>
      <c r="K105" s="1089"/>
      <c r="L105" s="1089"/>
      <c r="M105" s="1089"/>
      <c r="N105" s="1089"/>
    </row>
    <row r="106" spans="1:14" ht="15" x14ac:dyDescent="0.2">
      <c r="A106" s="373"/>
      <c r="B106" s="1086" t="s">
        <v>86</v>
      </c>
      <c r="C106" s="171">
        <v>2</v>
      </c>
      <c r="D106" s="172" t="s">
        <v>96</v>
      </c>
      <c r="E106" s="1089"/>
      <c r="F106" s="1089"/>
      <c r="G106" s="1089"/>
      <c r="H106" s="1089"/>
      <c r="I106" s="1089"/>
      <c r="J106" s="1089"/>
      <c r="K106" s="1089"/>
      <c r="L106" s="1089"/>
      <c r="M106" s="1089"/>
      <c r="N106" s="1089"/>
    </row>
    <row r="107" spans="1:14" ht="15" x14ac:dyDescent="0.2">
      <c r="A107" s="373"/>
      <c r="B107" s="1089"/>
      <c r="C107" s="1089"/>
      <c r="D107" s="1089"/>
      <c r="E107" s="1089"/>
      <c r="F107" s="1089"/>
      <c r="G107" s="1089"/>
      <c r="H107" s="1089"/>
      <c r="I107" s="1089"/>
      <c r="J107" s="1089"/>
      <c r="K107" s="1089"/>
      <c r="L107" s="1089"/>
      <c r="M107" s="1089"/>
      <c r="N107" s="1089"/>
    </row>
    <row r="108" spans="1:14" ht="15" x14ac:dyDescent="0.2">
      <c r="A108" s="373" t="str">
        <f>ORÇ!A406</f>
        <v>15.24</v>
      </c>
      <c r="B108" s="1996" t="str">
        <f>ORÇ!D406</f>
        <v>REGISTRO DE GAVETA BRUTO, LATÃO, ROSCÁVEL, 2 1/2" - FORNECIMENTO E INSTALAÇÃO. AF_08/2021</v>
      </c>
      <c r="C108" s="1996"/>
      <c r="D108" s="1996"/>
      <c r="E108" s="1996"/>
      <c r="F108" s="1996"/>
      <c r="G108" s="1996"/>
      <c r="H108" s="1996"/>
      <c r="I108" s="1996"/>
      <c r="J108" s="1996"/>
      <c r="K108" s="1996"/>
      <c r="L108" s="1996"/>
      <c r="M108" s="1996"/>
      <c r="N108" s="1996"/>
    </row>
    <row r="110" spans="1:14" x14ac:dyDescent="0.2">
      <c r="B110" s="1086" t="s">
        <v>86</v>
      </c>
      <c r="C110" s="171">
        <v>2</v>
      </c>
      <c r="D110" s="172" t="s">
        <v>96</v>
      </c>
    </row>
  </sheetData>
  <mergeCells count="40">
    <mergeCell ref="A6:A7"/>
    <mergeCell ref="B4:N4"/>
    <mergeCell ref="B5:G5"/>
    <mergeCell ref="B6:G7"/>
    <mergeCell ref="H5:I6"/>
    <mergeCell ref="H7:I7"/>
    <mergeCell ref="J5:N6"/>
    <mergeCell ref="J7:N7"/>
    <mergeCell ref="A1:N1"/>
    <mergeCell ref="B2:I2"/>
    <mergeCell ref="B3:N3"/>
    <mergeCell ref="J2:K2"/>
    <mergeCell ref="L2:N2"/>
    <mergeCell ref="A9:N9"/>
    <mergeCell ref="A10:N10"/>
    <mergeCell ref="A11:N11"/>
    <mergeCell ref="A34:B34"/>
    <mergeCell ref="B23:N23"/>
    <mergeCell ref="B27:N27"/>
    <mergeCell ref="B31:N31"/>
    <mergeCell ref="B19:N19"/>
    <mergeCell ref="B36:N36"/>
    <mergeCell ref="B40:N40"/>
    <mergeCell ref="B44:N44"/>
    <mergeCell ref="B48:N48"/>
    <mergeCell ref="B56:N56"/>
    <mergeCell ref="B52:N52"/>
    <mergeCell ref="B60:N60"/>
    <mergeCell ref="B64:N64"/>
    <mergeCell ref="B68:N68"/>
    <mergeCell ref="B72:N72"/>
    <mergeCell ref="B76:N76"/>
    <mergeCell ref="B100:N100"/>
    <mergeCell ref="B104:N104"/>
    <mergeCell ref="B108:N108"/>
    <mergeCell ref="B80:N80"/>
    <mergeCell ref="B84:N84"/>
    <mergeCell ref="B88:N88"/>
    <mergeCell ref="B92:N92"/>
    <mergeCell ref="B96:N96"/>
  </mergeCells>
  <pageMargins left="0.511811024" right="0.511811024" top="0.78740157499999996" bottom="0.78740157499999996" header="0.31496062000000002" footer="0.31496062000000002"/>
  <pageSetup paperSize="9" scale="57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view="pageBreakPreview" topLeftCell="A7" zoomScale="85" zoomScaleNormal="62" zoomScaleSheetLayoutView="85" zoomScalePageLayoutView="40" workbookViewId="0">
      <selection activeCell="J12" sqref="J12"/>
    </sheetView>
  </sheetViews>
  <sheetFormatPr defaultRowHeight="12.75" x14ac:dyDescent="0.2"/>
  <cols>
    <col min="3" max="3" width="29.7109375" bestFit="1" customWidth="1"/>
  </cols>
  <sheetData>
    <row r="1" spans="1:19" ht="20.25" customHeight="1" thickBot="1" x14ac:dyDescent="0.25">
      <c r="A1" s="1668" t="s">
        <v>125</v>
      </c>
      <c r="B1" s="1669"/>
      <c r="C1" s="1669"/>
      <c r="D1" s="1669"/>
      <c r="E1" s="1669"/>
      <c r="F1" s="1669"/>
      <c r="G1" s="1669"/>
      <c r="H1" s="1669"/>
      <c r="I1" s="1670"/>
    </row>
    <row r="2" spans="1:19" ht="19.5" customHeight="1" thickBot="1" x14ac:dyDescent="0.25">
      <c r="A2" s="1660" t="s">
        <v>126</v>
      </c>
      <c r="B2" s="1661"/>
      <c r="C2" s="1671" t="str">
        <f>ORÇ!B2</f>
        <v>PREFEITURA MUNICIPAL DE PLACAS</v>
      </c>
      <c r="D2" s="1672"/>
      <c r="E2" s="1676" t="s">
        <v>136</v>
      </c>
      <c r="F2" s="1677"/>
      <c r="G2" s="1673" t="str">
        <f>ORÇ!I2</f>
        <v>PLACAS / PA</v>
      </c>
      <c r="H2" s="1674"/>
      <c r="I2" s="1675"/>
      <c r="K2" s="142" t="s">
        <v>128</v>
      </c>
      <c r="L2" s="143"/>
      <c r="M2" s="143"/>
      <c r="N2" s="143"/>
      <c r="O2" s="144"/>
      <c r="P2" s="160">
        <v>0.28820000000000001</v>
      </c>
      <c r="Q2" s="160">
        <v>0.32779999999999998</v>
      </c>
      <c r="R2" s="160">
        <v>0.37090000000000001</v>
      </c>
    </row>
    <row r="3" spans="1:19" ht="15.75" customHeight="1" x14ac:dyDescent="0.2">
      <c r="A3" s="1660" t="s">
        <v>127</v>
      </c>
      <c r="B3" s="1661"/>
      <c r="C3" s="403" t="str">
        <f>ORÇ!B3</f>
        <v>CONSTRUÇÃO DO COMPLEXO ADMINISTRATIVO DO MUNICIPIO DE PLACAS</v>
      </c>
      <c r="D3" s="403"/>
      <c r="E3" s="403"/>
      <c r="F3" s="403"/>
      <c r="G3" s="403"/>
      <c r="H3" s="403"/>
      <c r="I3" s="404"/>
      <c r="K3" s="255" t="s">
        <v>105</v>
      </c>
      <c r="L3" s="256"/>
      <c r="M3" s="256"/>
      <c r="N3" s="256"/>
      <c r="O3" s="257"/>
      <c r="P3" s="146">
        <v>3</v>
      </c>
      <c r="Q3" s="147">
        <v>4</v>
      </c>
      <c r="R3" s="148">
        <v>5.5</v>
      </c>
    </row>
    <row r="4" spans="1:19" ht="16.5" customHeight="1" x14ac:dyDescent="0.2">
      <c r="A4" s="1660" t="s">
        <v>228</v>
      </c>
      <c r="B4" s="1661"/>
      <c r="C4" s="405" t="str">
        <f>ORÇ!B4</f>
        <v>RUA OLAVO BILAC N° 408, BAIRRO CENTRO – PLACAS/PARÁ</v>
      </c>
      <c r="D4" s="403"/>
      <c r="E4" s="403"/>
      <c r="F4" s="403"/>
      <c r="G4" s="403"/>
      <c r="H4" s="403"/>
      <c r="I4" s="404"/>
      <c r="K4" s="1642" t="s">
        <v>107</v>
      </c>
      <c r="L4" s="1643"/>
      <c r="M4" s="1643"/>
      <c r="N4" s="1643"/>
      <c r="O4" s="1644"/>
      <c r="P4" s="149">
        <v>0.97</v>
      </c>
      <c r="Q4" s="150">
        <v>1.27</v>
      </c>
      <c r="R4" s="152">
        <v>1.27</v>
      </c>
    </row>
    <row r="5" spans="1:19" ht="27.75" customHeight="1" x14ac:dyDescent="0.2">
      <c r="A5" s="1662" t="s">
        <v>128</v>
      </c>
      <c r="B5" s="1663"/>
      <c r="C5" s="1664">
        <f>I24</f>
        <v>0.28820000000000001</v>
      </c>
      <c r="D5" s="1665"/>
      <c r="E5" s="1646" t="s">
        <v>278</v>
      </c>
      <c r="F5" s="1647"/>
      <c r="G5" s="1658" t="str">
        <f>ORÇ!G5</f>
        <v>SINAPI ABRIL/2022 - DESONERADA</v>
      </c>
      <c r="H5" s="1658"/>
      <c r="I5" s="1659"/>
      <c r="K5" s="1642" t="s">
        <v>108</v>
      </c>
      <c r="L5" s="1643"/>
      <c r="M5" s="1643"/>
      <c r="N5" s="1643"/>
      <c r="O5" s="1644"/>
      <c r="P5" s="149">
        <v>0.59</v>
      </c>
      <c r="Q5" s="150">
        <v>1.23</v>
      </c>
      <c r="R5" s="151">
        <v>1.39</v>
      </c>
    </row>
    <row r="6" spans="1:19" ht="25.5" customHeight="1" x14ac:dyDescent="0.2">
      <c r="A6" s="1645" t="s">
        <v>129</v>
      </c>
      <c r="B6" s="1645"/>
      <c r="C6" s="1666" t="str">
        <f>ORÇ!B6</f>
        <v>MARUZA BAPTISTA</v>
      </c>
      <c r="D6" s="1667"/>
      <c r="E6" s="1646" t="s">
        <v>279</v>
      </c>
      <c r="F6" s="1647"/>
      <c r="G6" s="1648" t="str">
        <f>ORÇ!G7</f>
        <v>CAU - A : 28510-2</v>
      </c>
      <c r="H6" s="1648"/>
      <c r="I6" s="1649"/>
      <c r="J6" s="145"/>
      <c r="K6" s="1642" t="s">
        <v>109</v>
      </c>
      <c r="L6" s="1643"/>
      <c r="M6" s="1643"/>
      <c r="N6" s="1643"/>
      <c r="O6" s="1644"/>
      <c r="P6" s="149">
        <v>6.16</v>
      </c>
      <c r="Q6" s="150">
        <v>7.4</v>
      </c>
      <c r="R6" s="151">
        <v>8.9600000000000009</v>
      </c>
    </row>
    <row r="7" spans="1:19" ht="13.5" thickBot="1" x14ac:dyDescent="0.25">
      <c r="A7" s="406"/>
      <c r="B7" s="407"/>
      <c r="C7" s="407"/>
      <c r="D7" s="407"/>
      <c r="E7" s="407"/>
      <c r="F7" s="407"/>
      <c r="G7" s="407"/>
      <c r="H7" s="407"/>
      <c r="I7" s="408"/>
      <c r="K7" s="1642" t="s">
        <v>110</v>
      </c>
      <c r="L7" s="1643"/>
      <c r="M7" s="1643"/>
      <c r="N7" s="1643"/>
      <c r="O7" s="1644"/>
      <c r="P7" s="153">
        <v>13.15</v>
      </c>
      <c r="Q7" s="154">
        <v>13.15</v>
      </c>
      <c r="R7" s="153">
        <v>13.15</v>
      </c>
    </row>
    <row r="8" spans="1:19" ht="13.5" thickBot="1" x14ac:dyDescent="0.25">
      <c r="A8" s="1639"/>
      <c r="B8" s="1640"/>
      <c r="C8" s="1640"/>
      <c r="D8" s="1640"/>
      <c r="E8" s="1640"/>
      <c r="F8" s="1640"/>
      <c r="G8" s="1640"/>
      <c r="H8" s="1640"/>
      <c r="I8" s="1641"/>
    </row>
    <row r="9" spans="1:19" ht="13.5" thickBot="1" x14ac:dyDescent="0.25">
      <c r="A9" s="262" t="s">
        <v>32</v>
      </c>
      <c r="B9" s="125" t="s">
        <v>104</v>
      </c>
      <c r="C9" s="124"/>
      <c r="D9" s="124"/>
      <c r="E9" s="124"/>
      <c r="F9" s="124"/>
      <c r="G9" s="124"/>
      <c r="H9" s="124"/>
      <c r="I9" s="263"/>
    </row>
    <row r="10" spans="1:19" x14ac:dyDescent="0.2">
      <c r="A10" s="264">
        <v>1</v>
      </c>
      <c r="B10" s="126" t="s">
        <v>105</v>
      </c>
      <c r="C10" s="127"/>
      <c r="D10" s="127"/>
      <c r="E10" s="127"/>
      <c r="F10" s="127"/>
      <c r="G10" s="127"/>
      <c r="H10" s="128"/>
      <c r="I10" s="265">
        <v>0.03</v>
      </c>
    </row>
    <row r="11" spans="1:19" x14ac:dyDescent="0.2">
      <c r="A11" s="266">
        <v>2</v>
      </c>
      <c r="B11" s="129" t="s">
        <v>106</v>
      </c>
      <c r="C11" s="124"/>
      <c r="D11" s="124"/>
      <c r="E11" s="124"/>
      <c r="F11" s="124"/>
      <c r="G11" s="124"/>
      <c r="H11" s="124"/>
      <c r="I11" s="267">
        <v>8.0000000000000002E-3</v>
      </c>
      <c r="S11" s="155"/>
    </row>
    <row r="12" spans="1:19" x14ac:dyDescent="0.2">
      <c r="A12" s="268">
        <v>3</v>
      </c>
      <c r="B12" s="129" t="s">
        <v>107</v>
      </c>
      <c r="C12" s="124"/>
      <c r="D12" s="124"/>
      <c r="E12" s="124"/>
      <c r="F12" s="124"/>
      <c r="G12" s="124"/>
      <c r="H12" s="130"/>
      <c r="I12" s="269">
        <v>9.7000000000000003E-3</v>
      </c>
    </row>
    <row r="13" spans="1:19" x14ac:dyDescent="0.2">
      <c r="A13" s="266">
        <v>4</v>
      </c>
      <c r="B13" s="129" t="s">
        <v>108</v>
      </c>
      <c r="C13" s="124"/>
      <c r="D13" s="124"/>
      <c r="E13" s="124"/>
      <c r="F13" s="124"/>
      <c r="G13" s="124"/>
      <c r="H13" s="130"/>
      <c r="I13" s="267">
        <v>5.8999999999999999E-3</v>
      </c>
      <c r="J13" s="156"/>
    </row>
    <row r="14" spans="1:19" x14ac:dyDescent="0.2">
      <c r="A14" s="266">
        <v>5</v>
      </c>
      <c r="B14" s="129" t="s">
        <v>109</v>
      </c>
      <c r="C14" s="124"/>
      <c r="D14" s="124"/>
      <c r="E14" s="124"/>
      <c r="F14" s="124"/>
      <c r="G14" s="124"/>
      <c r="H14" s="130"/>
      <c r="I14" s="267">
        <v>6.1600000000000002E-2</v>
      </c>
    </row>
    <row r="15" spans="1:19" ht="13.5" thickBot="1" x14ac:dyDescent="0.25">
      <c r="A15" s="270">
        <v>6</v>
      </c>
      <c r="B15" s="131" t="s">
        <v>110</v>
      </c>
      <c r="C15" s="132"/>
      <c r="D15" s="132"/>
      <c r="E15" s="132"/>
      <c r="F15" s="132"/>
      <c r="G15" s="132"/>
      <c r="H15" s="133"/>
      <c r="I15" s="274">
        <f>I22</f>
        <v>0.13150000000000001</v>
      </c>
    </row>
    <row r="16" spans="1:19" x14ac:dyDescent="0.2">
      <c r="A16" s="271"/>
      <c r="B16" s="124"/>
      <c r="C16" s="124"/>
      <c r="D16" s="124"/>
      <c r="E16" s="124"/>
      <c r="F16" s="124"/>
      <c r="G16" s="124"/>
      <c r="H16" s="124"/>
      <c r="I16" s="272"/>
    </row>
    <row r="17" spans="1:9" ht="13.5" thickBot="1" x14ac:dyDescent="0.25">
      <c r="A17" s="262" t="s">
        <v>32</v>
      </c>
      <c r="B17" s="125" t="s">
        <v>111</v>
      </c>
      <c r="C17" s="124"/>
      <c r="D17" s="124"/>
      <c r="E17" s="124"/>
      <c r="F17" s="124"/>
      <c r="G17" s="124"/>
      <c r="H17" s="124"/>
      <c r="I17" s="272"/>
    </row>
    <row r="18" spans="1:9" x14ac:dyDescent="0.2">
      <c r="A18" s="264" t="s">
        <v>12</v>
      </c>
      <c r="B18" s="134" t="s">
        <v>112</v>
      </c>
      <c r="C18" s="127"/>
      <c r="D18" s="127"/>
      <c r="E18" s="127"/>
      <c r="F18" s="127"/>
      <c r="G18" s="127"/>
      <c r="H18" s="127"/>
      <c r="I18" s="273">
        <v>0.05</v>
      </c>
    </row>
    <row r="19" spans="1:9" x14ac:dyDescent="0.2">
      <c r="A19" s="266" t="s">
        <v>13</v>
      </c>
      <c r="B19" s="129" t="s">
        <v>113</v>
      </c>
      <c r="C19" s="124"/>
      <c r="D19" s="124"/>
      <c r="E19" s="124"/>
      <c r="F19" s="124"/>
      <c r="G19" s="124"/>
      <c r="H19" s="124"/>
      <c r="I19" s="267">
        <v>6.4999999999999997E-3</v>
      </c>
    </row>
    <row r="20" spans="1:9" x14ac:dyDescent="0.2">
      <c r="A20" s="266" t="s">
        <v>14</v>
      </c>
      <c r="B20" s="135" t="s">
        <v>114</v>
      </c>
      <c r="C20" s="124"/>
      <c r="D20" s="124"/>
      <c r="E20" s="124"/>
      <c r="F20" s="124"/>
      <c r="G20" s="124"/>
      <c r="H20" s="124"/>
      <c r="I20" s="267">
        <v>0.03</v>
      </c>
    </row>
    <row r="21" spans="1:9" ht="13.5" thickBot="1" x14ac:dyDescent="0.25">
      <c r="A21" s="270" t="s">
        <v>115</v>
      </c>
      <c r="B21" s="131" t="s">
        <v>116</v>
      </c>
      <c r="C21" s="132"/>
      <c r="D21" s="132"/>
      <c r="E21" s="132"/>
      <c r="F21" s="132"/>
      <c r="G21" s="132"/>
      <c r="H21" s="132"/>
      <c r="I21" s="274">
        <v>4.4999999999999998E-2</v>
      </c>
    </row>
    <row r="22" spans="1:9" ht="13.5" thickBot="1" x14ac:dyDescent="0.25">
      <c r="A22" s="261"/>
      <c r="B22" s="124"/>
      <c r="C22" s="124"/>
      <c r="D22" s="124"/>
      <c r="E22" s="124"/>
      <c r="F22" s="124"/>
      <c r="G22" s="1650" t="s">
        <v>117</v>
      </c>
      <c r="H22" s="1651"/>
      <c r="I22" s="341">
        <f>SUM(I18:I21)</f>
        <v>0.13150000000000001</v>
      </c>
    </row>
    <row r="23" spans="1:9" ht="15.75" thickBot="1" x14ac:dyDescent="0.3">
      <c r="A23" s="1652" t="s">
        <v>118</v>
      </c>
      <c r="B23" s="1653"/>
      <c r="C23" s="1653"/>
      <c r="D23" s="1653"/>
      <c r="E23" s="1653"/>
      <c r="F23" s="1653"/>
      <c r="G23" s="1653"/>
      <c r="H23" s="1653"/>
      <c r="I23" s="1654"/>
    </row>
    <row r="24" spans="1:9" ht="37.5" customHeight="1" thickBot="1" x14ac:dyDescent="0.25">
      <c r="A24" s="1655"/>
      <c r="B24" s="1656"/>
      <c r="C24" s="1656"/>
      <c r="D24" s="1656"/>
      <c r="E24" s="1656"/>
      <c r="F24" s="1656"/>
      <c r="G24" s="1656"/>
      <c r="H24" s="1657"/>
      <c r="I24" s="846">
        <f>ROUND((((1+I10+I11+I12)*(1+I13)*(1+I14))/(1-I15))-1,4)</f>
        <v>0.28820000000000001</v>
      </c>
    </row>
    <row r="25" spans="1:9" x14ac:dyDescent="0.2">
      <c r="A25" s="275"/>
      <c r="B25" s="124"/>
      <c r="C25" s="124"/>
      <c r="D25" s="124"/>
      <c r="E25" s="124"/>
      <c r="F25" s="124"/>
      <c r="G25" s="124"/>
      <c r="H25" s="124"/>
      <c r="I25" s="276"/>
    </row>
    <row r="26" spans="1:9" x14ac:dyDescent="0.2">
      <c r="A26" s="277" t="s">
        <v>119</v>
      </c>
      <c r="B26" s="136"/>
      <c r="C26" s="136"/>
      <c r="D26" s="136"/>
      <c r="E26" s="136"/>
      <c r="F26" s="136"/>
      <c r="G26" s="136"/>
      <c r="H26" s="136"/>
      <c r="I26" s="278"/>
    </row>
    <row r="27" spans="1:9" x14ac:dyDescent="0.2">
      <c r="A27" s="1630" t="s">
        <v>120</v>
      </c>
      <c r="B27" s="1631"/>
      <c r="C27" s="1631"/>
      <c r="D27" s="1631"/>
      <c r="E27" s="1631"/>
      <c r="F27" s="1631"/>
      <c r="G27" s="1631"/>
      <c r="H27" s="1631"/>
      <c r="I27" s="1632"/>
    </row>
    <row r="28" spans="1:9" x14ac:dyDescent="0.2">
      <c r="A28" s="1630" t="s">
        <v>121</v>
      </c>
      <c r="B28" s="1631"/>
      <c r="C28" s="1631"/>
      <c r="D28" s="1631"/>
      <c r="E28" s="1631"/>
      <c r="F28" s="1631"/>
      <c r="G28" s="1631"/>
      <c r="H28" s="1631"/>
      <c r="I28" s="1632"/>
    </row>
    <row r="29" spans="1:9" x14ac:dyDescent="0.2">
      <c r="A29" s="1627" t="s">
        <v>122</v>
      </c>
      <c r="B29" s="1628"/>
      <c r="C29" s="1628"/>
      <c r="D29" s="1628"/>
      <c r="E29" s="1628"/>
      <c r="F29" s="1628"/>
      <c r="G29" s="1628"/>
      <c r="H29" s="1628"/>
      <c r="I29" s="1629"/>
    </row>
    <row r="30" spans="1:9" x14ac:dyDescent="0.2">
      <c r="A30" s="1630" t="s">
        <v>123</v>
      </c>
      <c r="B30" s="1631"/>
      <c r="C30" s="1631"/>
      <c r="D30" s="1631"/>
      <c r="E30" s="1631"/>
      <c r="F30" s="1631"/>
      <c r="G30" s="1631"/>
      <c r="H30" s="1631"/>
      <c r="I30" s="1632"/>
    </row>
    <row r="31" spans="1:9" x14ac:dyDescent="0.2">
      <c r="A31" s="1630" t="s">
        <v>124</v>
      </c>
      <c r="B31" s="1631"/>
      <c r="C31" s="1631"/>
      <c r="D31" s="1631"/>
      <c r="E31" s="1631"/>
      <c r="F31" s="1631"/>
      <c r="G31" s="1631"/>
      <c r="H31" s="1631"/>
      <c r="I31" s="1632"/>
    </row>
    <row r="32" spans="1:9" ht="13.5" thickBot="1" x14ac:dyDescent="0.25">
      <c r="A32" s="279"/>
      <c r="B32" s="132"/>
      <c r="C32" s="132"/>
      <c r="D32" s="132"/>
      <c r="E32" s="132"/>
      <c r="F32" s="132"/>
      <c r="G32" s="132"/>
      <c r="H32" s="132"/>
      <c r="I32" s="280"/>
    </row>
    <row r="33" spans="1:9" x14ac:dyDescent="0.2">
      <c r="A33" s="261"/>
      <c r="B33" s="124"/>
      <c r="C33" s="124"/>
      <c r="D33" s="124"/>
      <c r="E33" s="124"/>
      <c r="F33" s="124"/>
      <c r="G33" s="124"/>
      <c r="H33" s="124"/>
      <c r="I33" s="197"/>
    </row>
    <row r="34" spans="1:9" x14ac:dyDescent="0.2">
      <c r="A34" s="1633"/>
      <c r="B34" s="1634"/>
      <c r="C34" s="1634"/>
      <c r="D34" s="1634"/>
      <c r="E34" s="1634"/>
      <c r="F34" s="1634"/>
      <c r="G34" s="1634"/>
      <c r="H34" s="1634"/>
      <c r="I34" s="1635"/>
    </row>
    <row r="35" spans="1:9" x14ac:dyDescent="0.2">
      <c r="A35" s="1636"/>
      <c r="B35" s="1637"/>
      <c r="C35" s="1637"/>
      <c r="D35" s="1637"/>
      <c r="E35" s="1637"/>
      <c r="F35" s="1637"/>
      <c r="G35" s="1637"/>
      <c r="H35" s="1637"/>
      <c r="I35" s="1638"/>
    </row>
    <row r="36" spans="1:9" x14ac:dyDescent="0.2">
      <c r="A36" s="1636"/>
      <c r="B36" s="1637"/>
      <c r="C36" s="1637"/>
      <c r="D36" s="1637"/>
      <c r="E36" s="1637"/>
      <c r="F36" s="1637"/>
      <c r="G36" s="1637"/>
      <c r="H36" s="1637"/>
      <c r="I36" s="1638"/>
    </row>
    <row r="37" spans="1:9" ht="13.5" thickBot="1" x14ac:dyDescent="0.25">
      <c r="A37" s="1624"/>
      <c r="B37" s="1625"/>
      <c r="C37" s="1625"/>
      <c r="D37" s="1625"/>
      <c r="E37" s="1625"/>
      <c r="F37" s="1625"/>
      <c r="G37" s="1625"/>
      <c r="H37" s="1625"/>
      <c r="I37" s="1626"/>
    </row>
    <row r="38" spans="1:9" x14ac:dyDescent="0.2">
      <c r="A38" s="258"/>
      <c r="B38" s="258"/>
      <c r="C38" s="258"/>
      <c r="D38" s="258"/>
      <c r="E38" s="258"/>
      <c r="F38" s="258"/>
      <c r="G38" s="258"/>
      <c r="H38" s="258"/>
      <c r="I38" s="258"/>
    </row>
    <row r="39" spans="1:9" x14ac:dyDescent="0.2">
      <c r="A39" s="258"/>
      <c r="B39" s="258"/>
      <c r="C39" s="258"/>
      <c r="D39" s="258"/>
      <c r="E39" s="258"/>
      <c r="F39" s="258"/>
      <c r="G39" s="258"/>
      <c r="H39" s="258"/>
      <c r="I39" s="258"/>
    </row>
    <row r="41" spans="1:9" x14ac:dyDescent="0.2">
      <c r="A41" s="124"/>
      <c r="B41" s="124"/>
      <c r="C41" s="124"/>
      <c r="D41" s="124"/>
      <c r="E41" s="124"/>
      <c r="F41" s="124"/>
      <c r="G41" s="124"/>
      <c r="H41" s="124"/>
      <c r="I41" s="124"/>
    </row>
    <row r="42" spans="1:9" x14ac:dyDescent="0.2">
      <c r="A42" s="206"/>
      <c r="B42" s="281"/>
      <c r="C42" s="281"/>
      <c r="D42" s="281"/>
      <c r="E42" s="281"/>
      <c r="F42" s="124"/>
      <c r="G42" s="124"/>
      <c r="H42" s="124"/>
      <c r="I42" s="124"/>
    </row>
    <row r="43" spans="1:9" x14ac:dyDescent="0.2">
      <c r="A43" s="281"/>
      <c r="B43" s="281"/>
      <c r="C43" s="281"/>
      <c r="D43" s="281"/>
      <c r="E43" s="281"/>
      <c r="F43" s="282"/>
      <c r="G43" s="282"/>
      <c r="H43" s="282"/>
      <c r="I43" s="124"/>
    </row>
    <row r="44" spans="1:9" x14ac:dyDescent="0.2">
      <c r="A44" s="1678"/>
      <c r="B44" s="1678"/>
      <c r="C44" s="1678"/>
      <c r="D44" s="1678"/>
      <c r="E44" s="1678"/>
      <c r="F44" s="283"/>
      <c r="G44" s="283"/>
      <c r="H44" s="284"/>
      <c r="I44" s="124"/>
    </row>
    <row r="45" spans="1:9" x14ac:dyDescent="0.2">
      <c r="A45" s="1678"/>
      <c r="B45" s="1678"/>
      <c r="C45" s="1678"/>
      <c r="D45" s="1678"/>
      <c r="E45" s="1678"/>
      <c r="F45" s="283"/>
      <c r="G45" s="283"/>
      <c r="H45" s="284"/>
      <c r="I45" s="124"/>
    </row>
    <row r="46" spans="1:9" x14ac:dyDescent="0.2">
      <c r="A46" s="1678"/>
      <c r="B46" s="1678"/>
      <c r="C46" s="1678"/>
      <c r="D46" s="1678"/>
      <c r="E46" s="1678"/>
      <c r="F46" s="283"/>
      <c r="G46" s="283"/>
      <c r="H46" s="285"/>
      <c r="I46" s="124"/>
    </row>
    <row r="47" spans="1:9" x14ac:dyDescent="0.2">
      <c r="A47" s="1678"/>
      <c r="B47" s="1678"/>
      <c r="C47" s="1678"/>
      <c r="D47" s="1678"/>
      <c r="E47" s="1678"/>
      <c r="F47" s="283"/>
      <c r="G47" s="283"/>
      <c r="H47" s="284"/>
      <c r="I47" s="124"/>
    </row>
    <row r="48" spans="1:9" x14ac:dyDescent="0.2">
      <c r="A48" s="1678"/>
      <c r="B48" s="1678"/>
      <c r="C48" s="1678"/>
      <c r="D48" s="1678"/>
      <c r="E48" s="1678"/>
      <c r="F48" s="283"/>
      <c r="G48" s="283"/>
      <c r="H48" s="284"/>
      <c r="I48" s="124"/>
    </row>
    <row r="49" spans="1:9" x14ac:dyDescent="0.2">
      <c r="A49" s="1678"/>
      <c r="B49" s="1678"/>
      <c r="C49" s="1678"/>
      <c r="D49" s="1678"/>
      <c r="E49" s="1678"/>
      <c r="F49" s="286"/>
      <c r="G49" s="286"/>
      <c r="H49" s="286"/>
      <c r="I49" s="124"/>
    </row>
  </sheetData>
  <mergeCells count="38">
    <mergeCell ref="A49:E49"/>
    <mergeCell ref="A44:E44"/>
    <mergeCell ref="A45:E45"/>
    <mergeCell ref="A46:E46"/>
    <mergeCell ref="A47:E47"/>
    <mergeCell ref="A48:E48"/>
    <mergeCell ref="A5:B5"/>
    <mergeCell ref="C5:D5"/>
    <mergeCell ref="C6:D6"/>
    <mergeCell ref="A3:B3"/>
    <mergeCell ref="A1:I1"/>
    <mergeCell ref="A2:B2"/>
    <mergeCell ref="C2:D2"/>
    <mergeCell ref="G2:I2"/>
    <mergeCell ref="E2:F2"/>
    <mergeCell ref="A28:I28"/>
    <mergeCell ref="A8:I8"/>
    <mergeCell ref="K4:O4"/>
    <mergeCell ref="K5:O5"/>
    <mergeCell ref="K6:O6"/>
    <mergeCell ref="A6:B6"/>
    <mergeCell ref="E6:F6"/>
    <mergeCell ref="G6:I6"/>
    <mergeCell ref="K7:O7"/>
    <mergeCell ref="G22:H22"/>
    <mergeCell ref="A23:I23"/>
    <mergeCell ref="A24:H24"/>
    <mergeCell ref="A27:I27"/>
    <mergeCell ref="G5:I5"/>
    <mergeCell ref="E5:F5"/>
    <mergeCell ref="A4:B4"/>
    <mergeCell ref="A37:I37"/>
    <mergeCell ref="A29:I29"/>
    <mergeCell ref="A30:I30"/>
    <mergeCell ref="A31:I31"/>
    <mergeCell ref="A34:I34"/>
    <mergeCell ref="A35:I35"/>
    <mergeCell ref="A36:I36"/>
  </mergeCells>
  <pageMargins left="0.511811024" right="0.511811024" top="0.78740157499999996" bottom="0.78740157499999996" header="0.31496062000000002" footer="0.31496062000000002"/>
  <pageSetup paperSize="9" scale="90" orientation="portrait" horizontalDpi="1200" verticalDpi="1200" r:id="rId1"/>
  <colBreaks count="1" manualBreakCount="1">
    <brk id="9" max="5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5"/>
  <sheetViews>
    <sheetView view="pageBreakPreview" zoomScale="85" zoomScaleNormal="100" zoomScaleSheetLayoutView="85" workbookViewId="0">
      <selection activeCell="D18" sqref="D18:E18"/>
    </sheetView>
  </sheetViews>
  <sheetFormatPr defaultColWidth="9.140625" defaultRowHeight="12.75" x14ac:dyDescent="0.2"/>
  <cols>
    <col min="1" max="1" width="14.7109375" style="351" customWidth="1"/>
    <col min="2" max="2" width="9.140625" style="351"/>
    <col min="3" max="3" width="19.85546875" style="351" customWidth="1"/>
    <col min="4" max="4" width="14.140625" style="351" customWidth="1"/>
    <col min="5" max="5" width="11.5703125" style="351" bestFit="1" customWidth="1"/>
    <col min="6" max="6" width="16.140625" style="351" customWidth="1"/>
    <col min="7" max="7" width="12.85546875" style="351" customWidth="1"/>
    <col min="8" max="8" width="11.7109375" style="351" customWidth="1"/>
    <col min="9" max="9" width="13.7109375" style="351" customWidth="1"/>
    <col min="10" max="10" width="16.7109375" style="351" customWidth="1"/>
    <col min="11" max="16384" width="9.140625" style="351"/>
  </cols>
  <sheetData>
    <row r="1" spans="1:17" ht="72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  <c r="Q1" s="1992"/>
    </row>
    <row r="2" spans="1:17" ht="15" customHeight="1" x14ac:dyDescent="0.2">
      <c r="A2" s="326" t="s">
        <v>126</v>
      </c>
      <c r="B2" s="2012" t="str">
        <f>SER.PREL.2!B2</f>
        <v>PREFEITURA MUNICIPAL DE PLACAS</v>
      </c>
      <c r="C2" s="2012"/>
      <c r="D2" s="2012"/>
      <c r="E2" s="2012"/>
      <c r="F2" s="2012"/>
      <c r="G2" s="2012"/>
      <c r="H2" s="2012"/>
      <c r="I2" s="2012"/>
      <c r="J2" s="2012"/>
      <c r="K2" s="2012"/>
      <c r="L2" s="2020" t="s">
        <v>136</v>
      </c>
      <c r="M2" s="2021"/>
      <c r="N2" s="2022" t="str">
        <f>SER.PREL.2!I2</f>
        <v>PLACAS / PA</v>
      </c>
      <c r="O2" s="2022"/>
      <c r="P2" s="2022"/>
      <c r="Q2" s="2022"/>
    </row>
    <row r="3" spans="1:17" ht="15" customHeight="1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  <c r="L3" s="1836"/>
      <c r="M3" s="1836"/>
      <c r="N3" s="1836"/>
      <c r="O3" s="1836"/>
      <c r="P3" s="1836"/>
      <c r="Q3" s="1836"/>
    </row>
    <row r="4" spans="1:17" ht="15" customHeight="1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  <c r="L4" s="1836"/>
      <c r="M4" s="1836"/>
      <c r="N4" s="1836"/>
      <c r="O4" s="1836"/>
      <c r="P4" s="1836"/>
      <c r="Q4" s="1836"/>
    </row>
    <row r="5" spans="1:17" ht="15" customHeight="1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868"/>
      <c r="I5" s="1868"/>
      <c r="J5" s="1868"/>
      <c r="K5" s="1713" t="s">
        <v>103</v>
      </c>
      <c r="L5" s="1714"/>
      <c r="M5" s="1717" t="str">
        <f>SER.PREL.2!G5</f>
        <v>SINAPI ABRIL/2022 - DESONERADA</v>
      </c>
      <c r="N5" s="1718"/>
      <c r="O5" s="1718"/>
      <c r="P5" s="1718"/>
      <c r="Q5" s="1988"/>
    </row>
    <row r="6" spans="1:17" ht="12.75" customHeight="1" x14ac:dyDescent="0.2">
      <c r="A6" s="1694" t="s">
        <v>129</v>
      </c>
      <c r="B6" s="1868" t="str">
        <f>SER.PREL.2!B6</f>
        <v>MARUZA BAPTISTA</v>
      </c>
      <c r="C6" s="1868"/>
      <c r="D6" s="1868"/>
      <c r="E6" s="1868"/>
      <c r="F6" s="1868"/>
      <c r="G6" s="1868"/>
      <c r="H6" s="1868"/>
      <c r="I6" s="1868"/>
      <c r="J6" s="1868"/>
      <c r="K6" s="1715"/>
      <c r="L6" s="1716"/>
      <c r="M6" s="1719"/>
      <c r="N6" s="1720"/>
      <c r="O6" s="1720"/>
      <c r="P6" s="1720"/>
      <c r="Q6" s="1989"/>
    </row>
    <row r="7" spans="1:17" ht="34.5" customHeight="1" x14ac:dyDescent="0.2">
      <c r="A7" s="1695"/>
      <c r="B7" s="1868"/>
      <c r="C7" s="1868"/>
      <c r="D7" s="1868"/>
      <c r="E7" s="1868"/>
      <c r="F7" s="1868"/>
      <c r="G7" s="1868"/>
      <c r="H7" s="1868"/>
      <c r="I7" s="1868"/>
      <c r="J7" s="1868"/>
      <c r="K7" s="1700" t="s">
        <v>130</v>
      </c>
      <c r="L7" s="1701"/>
      <c r="M7" s="1702" t="str">
        <f>SER.PREL.2!G7</f>
        <v>CAU - A : 28510-2</v>
      </c>
      <c r="N7" s="1703"/>
      <c r="O7" s="1703"/>
      <c r="P7" s="1703"/>
      <c r="Q7" s="1990"/>
    </row>
    <row r="8" spans="1:17" ht="13.5" thickBot="1" x14ac:dyDescent="0.25">
      <c r="B8" s="369"/>
      <c r="C8" s="368"/>
      <c r="D8" s="368"/>
      <c r="E8" s="368"/>
      <c r="F8" s="368"/>
      <c r="G8" s="368"/>
      <c r="H8" s="368"/>
      <c r="I8" s="368"/>
      <c r="J8" s="368"/>
      <c r="K8" s="368"/>
    </row>
    <row r="9" spans="1:17" ht="13.5" thickBot="1" x14ac:dyDescent="0.25">
      <c r="A9" s="1984" t="s">
        <v>287</v>
      </c>
      <c r="B9" s="1985"/>
      <c r="C9" s="1985"/>
      <c r="D9" s="1985"/>
      <c r="E9" s="1985"/>
      <c r="F9" s="1985"/>
      <c r="G9" s="1985"/>
      <c r="H9" s="1985"/>
      <c r="I9" s="1985"/>
      <c r="J9" s="1985"/>
      <c r="K9" s="1985"/>
      <c r="L9" s="1985"/>
      <c r="M9" s="1985"/>
      <c r="N9" s="1985"/>
      <c r="O9" s="1985"/>
      <c r="P9" s="1985"/>
      <c r="Q9" s="1986"/>
    </row>
    <row r="10" spans="1:17" ht="13.5" thickBot="1" x14ac:dyDescent="0.25">
      <c r="A10" s="2014" t="str">
        <f>ORÇ!B3</f>
        <v>CONSTRUÇÃO DO COMPLEXO ADMINISTRATIVO DO MUNICIPIO DE PLACAS</v>
      </c>
      <c r="B10" s="2015"/>
      <c r="C10" s="2015"/>
      <c r="D10" s="2015"/>
      <c r="E10" s="2015"/>
      <c r="F10" s="2015"/>
      <c r="G10" s="2015"/>
      <c r="H10" s="2015"/>
      <c r="I10" s="2015"/>
      <c r="J10" s="2015"/>
      <c r="K10" s="2015"/>
      <c r="L10" s="2015"/>
      <c r="M10" s="2015"/>
      <c r="N10" s="2015"/>
      <c r="O10" s="2015"/>
      <c r="P10" s="2015"/>
      <c r="Q10" s="2016"/>
    </row>
    <row r="11" spans="1:17" ht="13.5" thickBot="1" x14ac:dyDescent="0.25">
      <c r="A11" s="2017" t="str">
        <f>ORÇ!D316</f>
        <v>Instalações Hidrosanitárias</v>
      </c>
      <c r="B11" s="2018"/>
      <c r="C11" s="2018"/>
      <c r="D11" s="2018"/>
      <c r="E11" s="2018"/>
      <c r="F11" s="2018"/>
      <c r="G11" s="2018"/>
      <c r="H11" s="2018"/>
      <c r="I11" s="2018"/>
      <c r="J11" s="2018"/>
      <c r="K11" s="2018"/>
      <c r="L11" s="2018"/>
      <c r="M11" s="2018"/>
      <c r="N11" s="2018"/>
      <c r="O11" s="2018"/>
      <c r="P11" s="2018"/>
      <c r="Q11" s="2019"/>
    </row>
    <row r="12" spans="1:17" ht="12.75" customHeight="1" x14ac:dyDescent="0.2">
      <c r="A12" s="425"/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</row>
    <row r="13" spans="1:17" x14ac:dyDescent="0.2">
      <c r="A13" s="409"/>
      <c r="B13" s="374">
        <f>ORÇ!A316</f>
        <v>14</v>
      </c>
      <c r="C13" s="2013" t="str">
        <f>ORÇ!D316</f>
        <v>Instalações Hidrosanitárias</v>
      </c>
      <c r="D13" s="2013"/>
      <c r="E13" s="2013"/>
      <c r="F13" s="2013"/>
      <c r="G13" s="425"/>
      <c r="H13" s="425"/>
      <c r="I13" s="425"/>
      <c r="J13" s="425"/>
      <c r="K13" s="425"/>
      <c r="L13" s="409"/>
      <c r="M13" s="409"/>
      <c r="N13" s="409"/>
      <c r="O13" s="409"/>
      <c r="P13" s="409"/>
      <c r="Q13" s="409"/>
    </row>
    <row r="15" spans="1:17" x14ac:dyDescent="0.2">
      <c r="B15" s="598" t="str">
        <f>ORÇ!A317</f>
        <v>14.1</v>
      </c>
      <c r="C15" s="732" t="str">
        <f>ORÇ!D317</f>
        <v>Água Fria</v>
      </c>
      <c r="D15" s="425"/>
      <c r="E15" s="425"/>
      <c r="F15" s="425"/>
      <c r="G15" s="425"/>
      <c r="H15" s="425"/>
      <c r="I15" s="425"/>
      <c r="J15" s="425"/>
      <c r="K15" s="425"/>
    </row>
    <row r="16" spans="1:17" x14ac:dyDescent="0.2">
      <c r="B16" s="425" t="str">
        <f>ORÇ!A318</f>
        <v>14.1.1</v>
      </c>
      <c r="C16" s="411" t="str">
        <f>ORÇ!D318</f>
        <v>TUBO, PVC, SOLDÁVEL, DN 25MM, INSTALADO EM RAMAL OU SUB-RAMAL DE ÁGUA - FORNECIMENTO E INSTALAÇÃO. AF_12/2014_P</v>
      </c>
      <c r="D16" s="425"/>
      <c r="E16" s="425"/>
      <c r="F16" s="425"/>
      <c r="G16" s="425"/>
      <c r="H16" s="425"/>
      <c r="I16" s="425"/>
    </row>
    <row r="17" spans="2:14" ht="13.5" thickBot="1" x14ac:dyDescent="0.25">
      <c r="B17" s="1434"/>
      <c r="C17" s="1435"/>
      <c r="D17" s="1434"/>
      <c r="E17" s="1434"/>
      <c r="F17" s="1434"/>
      <c r="G17" s="1434"/>
      <c r="H17" s="1434"/>
      <c r="I17" s="1434"/>
    </row>
    <row r="18" spans="2:14" x14ac:dyDescent="0.2">
      <c r="B18" s="1434"/>
      <c r="C18" s="473"/>
      <c r="D18" s="2000" t="s">
        <v>233</v>
      </c>
      <c r="E18" s="2001"/>
    </row>
    <row r="19" spans="2:14" ht="13.5" thickBot="1" x14ac:dyDescent="0.25">
      <c r="B19" s="1434"/>
      <c r="C19" s="474" t="s">
        <v>50</v>
      </c>
      <c r="D19" s="475">
        <v>126</v>
      </c>
      <c r="E19" s="476" t="s">
        <v>17</v>
      </c>
    </row>
    <row r="20" spans="2:14" x14ac:dyDescent="0.2">
      <c r="B20" s="1434"/>
      <c r="C20" s="1435"/>
      <c r="D20" s="1434"/>
      <c r="E20" s="1434"/>
      <c r="F20" s="1434"/>
      <c r="G20" s="1434"/>
      <c r="H20" s="1434"/>
      <c r="I20" s="1434"/>
    </row>
    <row r="21" spans="2:14" x14ac:dyDescent="0.2">
      <c r="B21" s="425"/>
      <c r="C21" s="411"/>
      <c r="D21" s="425"/>
      <c r="E21" s="425"/>
      <c r="F21" s="425"/>
      <c r="G21" s="425"/>
      <c r="H21" s="425"/>
      <c r="I21" s="425"/>
    </row>
    <row r="22" spans="2:14" x14ac:dyDescent="0.2">
      <c r="B22" s="425" t="str">
        <f>ORÇ!A319</f>
        <v>14.1.2</v>
      </c>
      <c r="C22" s="411" t="str">
        <f>ORÇ!D319</f>
        <v>TUBO, PVC, SOLDÁVEL, DN 32MM, INSTALADO EM PRUMADA DE ÁGUA - FORNECIMENTO E INSTALAÇÃO. AF_12/2014</v>
      </c>
      <c r="D22" s="425"/>
      <c r="E22" s="425"/>
      <c r="F22" s="425"/>
      <c r="G22" s="425"/>
      <c r="H22" s="425"/>
      <c r="I22" s="425"/>
    </row>
    <row r="23" spans="2:14" ht="13.5" thickBot="1" x14ac:dyDescent="0.25">
      <c r="B23" s="1434"/>
      <c r="C23" s="1435"/>
      <c r="D23" s="1434"/>
      <c r="E23" s="1434"/>
      <c r="F23" s="1434"/>
      <c r="G23" s="1434"/>
      <c r="H23" s="1434"/>
      <c r="I23" s="1434"/>
    </row>
    <row r="24" spans="2:14" x14ac:dyDescent="0.2">
      <c r="B24" s="1434"/>
      <c r="C24" s="473"/>
      <c r="D24" s="2000" t="s">
        <v>233</v>
      </c>
      <c r="E24" s="2001"/>
    </row>
    <row r="25" spans="2:14" ht="13.5" thickBot="1" x14ac:dyDescent="0.25">
      <c r="B25" s="1434"/>
      <c r="C25" s="474" t="s">
        <v>50</v>
      </c>
      <c r="D25" s="475">
        <v>108</v>
      </c>
      <c r="E25" s="476" t="s">
        <v>17</v>
      </c>
    </row>
    <row r="26" spans="2:14" x14ac:dyDescent="0.2">
      <c r="B26" s="425"/>
      <c r="C26" s="411"/>
      <c r="D26" s="425"/>
      <c r="E26" s="425"/>
      <c r="F26" s="425"/>
      <c r="G26" s="425"/>
      <c r="H26" s="425"/>
      <c r="I26" s="425"/>
    </row>
    <row r="27" spans="2:14" x14ac:dyDescent="0.2">
      <c r="B27" s="425"/>
      <c r="C27" s="411"/>
      <c r="D27" s="425"/>
      <c r="E27" s="425"/>
      <c r="F27" s="425"/>
      <c r="G27" s="425"/>
      <c r="H27" s="425"/>
      <c r="I27" s="425"/>
    </row>
    <row r="28" spans="2:14" x14ac:dyDescent="0.2">
      <c r="B28" s="425" t="str">
        <f>ORÇ!A320</f>
        <v>14.1.3</v>
      </c>
      <c r="C28" s="411" t="str">
        <f>ORÇ!D320</f>
        <v>JOELHO 90 GRAUS COM BUCHA DE LATÃO, PVC, SOLDÁVEL, DN 25MM, X 1/2 INSTALADO EM RAMAL OU SUB-RAMAL DE ÁGUA - FORNECIMENTO E INSTALAÇÃO. AF_12/2014</v>
      </c>
      <c r="D28" s="425"/>
      <c r="E28" s="425"/>
      <c r="F28" s="425"/>
      <c r="G28" s="425"/>
      <c r="H28" s="425"/>
      <c r="I28" s="425"/>
    </row>
    <row r="29" spans="2:14" ht="15.75" thickBot="1" x14ac:dyDescent="0.3">
      <c r="B29" s="363"/>
      <c r="C29" s="1358"/>
      <c r="D29" s="1433"/>
      <c r="E29" s="1358"/>
      <c r="F29" s="1358"/>
      <c r="G29" s="1358"/>
      <c r="H29" s="1358"/>
      <c r="I29" s="1358"/>
      <c r="J29" s="1355"/>
      <c r="K29" s="1355"/>
      <c r="L29" s="1355"/>
      <c r="M29" s="1355"/>
      <c r="N29" s="1355"/>
    </row>
    <row r="30" spans="2:14" ht="15" x14ac:dyDescent="0.25">
      <c r="B30" s="363"/>
      <c r="C30" s="473"/>
      <c r="D30" s="2000" t="s">
        <v>86</v>
      </c>
      <c r="E30" s="2001"/>
      <c r="F30" s="1355"/>
      <c r="G30" s="1355"/>
      <c r="H30" s="1355"/>
    </row>
    <row r="31" spans="2:14" ht="15.75" thickBot="1" x14ac:dyDescent="0.3">
      <c r="B31" s="363"/>
      <c r="C31" s="474" t="s">
        <v>317</v>
      </c>
      <c r="D31" s="475">
        <v>69</v>
      </c>
      <c r="E31" s="476" t="s">
        <v>96</v>
      </c>
      <c r="F31" s="1355"/>
      <c r="G31" s="1355"/>
      <c r="H31" s="1355"/>
    </row>
    <row r="32" spans="2:14" x14ac:dyDescent="0.2">
      <c r="B32" s="425"/>
      <c r="C32" s="411"/>
      <c r="D32" s="425"/>
      <c r="E32" s="425"/>
      <c r="F32" s="425"/>
      <c r="G32" s="425"/>
      <c r="H32" s="425"/>
      <c r="I32" s="425"/>
    </row>
    <row r="33" spans="2:14" x14ac:dyDescent="0.2">
      <c r="B33" s="425" t="str">
        <f>ORÇ!A321</f>
        <v>14.1.4</v>
      </c>
      <c r="C33" s="411" t="str">
        <f>ORÇ!D321</f>
        <v>JOELHO 90 GRAUS, PVC, SOLDÁVEL, DN 32MM, INSTALADO EM RAMAL DE DISTRIBUIÇÃO DE ÁGUA - FORNECIMENTO E INSTALAÇÃO. AF_12/2014</v>
      </c>
      <c r="D33" s="425"/>
      <c r="E33" s="425"/>
      <c r="F33" s="425"/>
      <c r="G33" s="425"/>
      <c r="H33" s="425"/>
      <c r="I33" s="425"/>
    </row>
    <row r="34" spans="2:14" ht="15.75" thickBot="1" x14ac:dyDescent="0.3">
      <c r="B34" s="363"/>
      <c r="C34" s="1358"/>
      <c r="D34" s="1433"/>
      <c r="E34" s="1358"/>
      <c r="F34" s="1358"/>
      <c r="G34" s="1358"/>
      <c r="H34" s="1358"/>
      <c r="I34" s="1358"/>
      <c r="J34" s="1355"/>
      <c r="K34" s="1355"/>
      <c r="L34" s="1355"/>
      <c r="M34" s="1355"/>
      <c r="N34" s="1355"/>
    </row>
    <row r="35" spans="2:14" ht="15" x14ac:dyDescent="0.25">
      <c r="B35" s="363"/>
      <c r="C35" s="473"/>
      <c r="D35" s="2000" t="s">
        <v>86</v>
      </c>
      <c r="E35" s="2001"/>
      <c r="F35" s="1355"/>
      <c r="G35" s="1355"/>
      <c r="H35" s="1355"/>
    </row>
    <row r="36" spans="2:14" ht="15.75" thickBot="1" x14ac:dyDescent="0.3">
      <c r="B36" s="363"/>
      <c r="C36" s="474" t="s">
        <v>317</v>
      </c>
      <c r="D36" s="475">
        <v>2</v>
      </c>
      <c r="E36" s="476" t="s">
        <v>96</v>
      </c>
      <c r="F36" s="1355"/>
      <c r="G36" s="1355"/>
      <c r="H36" s="1355"/>
    </row>
    <row r="37" spans="2:14" x14ac:dyDescent="0.2">
      <c r="B37" s="425"/>
      <c r="C37" s="411"/>
      <c r="D37" s="425"/>
      <c r="E37" s="425"/>
      <c r="F37" s="425"/>
      <c r="G37" s="425"/>
      <c r="H37" s="425"/>
      <c r="I37" s="425"/>
    </row>
    <row r="38" spans="2:14" x14ac:dyDescent="0.2">
      <c r="B38" s="425" t="str">
        <f>ORÇ!A322</f>
        <v>14.1.5</v>
      </c>
      <c r="C38" s="411" t="str">
        <f>ORÇ!D322</f>
        <v>Joelho/Cotovelo de redução 90° PVC JS - 32mm x 25mm (LH)</v>
      </c>
      <c r="D38" s="425"/>
      <c r="E38" s="425"/>
      <c r="F38" s="425"/>
      <c r="G38" s="425"/>
      <c r="H38" s="425"/>
      <c r="I38" s="425"/>
    </row>
    <row r="39" spans="2:14" x14ac:dyDescent="0.2">
      <c r="B39" s="425"/>
      <c r="F39" s="425"/>
      <c r="G39" s="425"/>
      <c r="H39" s="425"/>
      <c r="I39" s="425"/>
    </row>
    <row r="40" spans="2:14" x14ac:dyDescent="0.2">
      <c r="B40" s="425"/>
      <c r="C40" s="380" t="s">
        <v>248</v>
      </c>
      <c r="D40" s="381">
        <v>12</v>
      </c>
      <c r="E40" s="382" t="s">
        <v>96</v>
      </c>
      <c r="F40" s="425"/>
      <c r="G40" s="425"/>
      <c r="H40" s="425"/>
      <c r="I40" s="425"/>
    </row>
    <row r="41" spans="2:14" x14ac:dyDescent="0.2">
      <c r="B41" s="425"/>
      <c r="C41" s="411"/>
      <c r="D41" s="425"/>
      <c r="E41" s="425"/>
      <c r="F41" s="425"/>
      <c r="G41" s="425"/>
      <c r="H41" s="425"/>
      <c r="I41" s="425"/>
    </row>
    <row r="42" spans="2:14" x14ac:dyDescent="0.2">
      <c r="B42" s="425" t="str">
        <f>ORÇ!A323</f>
        <v>14.1.6</v>
      </c>
      <c r="C42" s="411" t="str">
        <f>ORÇ!D323</f>
        <v>TE, PVC, SOLDÁVEL, DN 25MM, INSTALADO EM RAMAL DE DISTRIBUIÇÃO DE ÁGUA - FORNECIMENTO E INSTALAÇÃO. AF_12/2014</v>
      </c>
      <c r="D42" s="425"/>
      <c r="E42" s="425"/>
      <c r="F42" s="425"/>
      <c r="G42" s="425"/>
      <c r="H42" s="425"/>
      <c r="I42" s="425"/>
    </row>
    <row r="43" spans="2:14" ht="15.75" thickBot="1" x14ac:dyDescent="0.3">
      <c r="B43" s="363"/>
      <c r="C43" s="1358"/>
      <c r="D43" s="1433"/>
      <c r="E43" s="1358"/>
      <c r="F43" s="1358"/>
      <c r="G43" s="1358"/>
      <c r="H43" s="1358"/>
      <c r="I43" s="1358"/>
      <c r="J43" s="1355"/>
      <c r="K43" s="1355"/>
      <c r="L43" s="1355"/>
      <c r="M43" s="1355"/>
      <c r="N43" s="1355"/>
    </row>
    <row r="44" spans="2:14" ht="15" x14ac:dyDescent="0.25">
      <c r="B44" s="363"/>
      <c r="C44" s="473"/>
      <c r="D44" s="2000" t="s">
        <v>86</v>
      </c>
      <c r="E44" s="2001"/>
      <c r="F44" s="1355"/>
      <c r="G44" s="1355"/>
      <c r="H44" s="1355"/>
    </row>
    <row r="45" spans="2:14" ht="15.75" thickBot="1" x14ac:dyDescent="0.3">
      <c r="B45" s="363"/>
      <c r="C45" s="474" t="s">
        <v>317</v>
      </c>
      <c r="D45" s="475">
        <v>46</v>
      </c>
      <c r="E45" s="476" t="s">
        <v>96</v>
      </c>
      <c r="F45" s="1355"/>
      <c r="G45" s="1355"/>
      <c r="H45" s="1355"/>
    </row>
    <row r="46" spans="2:14" x14ac:dyDescent="0.2">
      <c r="B46" s="425"/>
      <c r="C46" s="411"/>
      <c r="D46" s="425"/>
      <c r="E46" s="425"/>
      <c r="F46" s="425"/>
      <c r="G46" s="425"/>
      <c r="H46" s="425"/>
      <c r="I46" s="425"/>
    </row>
    <row r="47" spans="2:14" x14ac:dyDescent="0.2">
      <c r="B47" s="425" t="str">
        <f>ORÇ!A324</f>
        <v>14.1.7</v>
      </c>
      <c r="C47" s="411" t="str">
        <f>ORÇ!D324</f>
        <v>TE, PVC, SOLDÁVEL, DN 32MM, INSTALADO EM PRUMADA DE ÁGUA - FORNECIMENTO E INSTALAÇÃO. AF_12/2014</v>
      </c>
      <c r="D47" s="425"/>
      <c r="E47" s="425"/>
      <c r="F47" s="425"/>
      <c r="G47" s="425"/>
      <c r="H47" s="425"/>
      <c r="I47" s="425"/>
    </row>
    <row r="48" spans="2:14" x14ac:dyDescent="0.2">
      <c r="B48" s="425"/>
      <c r="F48" s="425"/>
      <c r="G48" s="425"/>
      <c r="H48" s="425"/>
      <c r="I48" s="425"/>
    </row>
    <row r="49" spans="2:9" x14ac:dyDescent="0.2">
      <c r="B49" s="425"/>
      <c r="C49" s="380" t="s">
        <v>248</v>
      </c>
      <c r="D49" s="381">
        <v>12</v>
      </c>
      <c r="E49" s="382" t="s">
        <v>96</v>
      </c>
      <c r="F49" s="425"/>
      <c r="G49" s="425"/>
      <c r="H49" s="425"/>
      <c r="I49" s="425"/>
    </row>
    <row r="50" spans="2:9" x14ac:dyDescent="0.2">
      <c r="B50" s="425"/>
      <c r="C50" s="411"/>
      <c r="D50" s="425"/>
      <c r="E50" s="425"/>
      <c r="F50" s="425"/>
      <c r="G50" s="425"/>
      <c r="H50" s="425"/>
      <c r="I50" s="425"/>
    </row>
    <row r="51" spans="2:9" x14ac:dyDescent="0.2">
      <c r="B51" s="425" t="str">
        <f>ORÇ!A325</f>
        <v>14.1.8</v>
      </c>
      <c r="C51" s="411" t="str">
        <f>ORÇ!D325</f>
        <v>TÊ DE REDUÇÃO, PVC, SOLDÁVEL, DN 32MM X 25MM, INSTALADO EM PRUMADA DE ÁGUA - FORNECIMENTO E INSTALAÇÃO. AF_12/2014</v>
      </c>
      <c r="D51" s="425"/>
      <c r="E51" s="425"/>
      <c r="F51" s="425"/>
      <c r="G51" s="425"/>
      <c r="H51" s="425"/>
      <c r="I51" s="425"/>
    </row>
    <row r="52" spans="2:9" x14ac:dyDescent="0.2">
      <c r="B52" s="425"/>
      <c r="C52" s="411"/>
      <c r="D52" s="425"/>
      <c r="E52" s="425"/>
      <c r="F52" s="425"/>
      <c r="G52" s="425"/>
      <c r="H52" s="425"/>
      <c r="I52" s="425"/>
    </row>
    <row r="53" spans="2:9" x14ac:dyDescent="0.2">
      <c r="B53" s="425"/>
      <c r="C53" s="380" t="s">
        <v>248</v>
      </c>
      <c r="D53" s="381">
        <v>4</v>
      </c>
      <c r="E53" s="382" t="s">
        <v>96</v>
      </c>
      <c r="F53" s="425"/>
      <c r="G53" s="425"/>
      <c r="H53" s="425"/>
      <c r="I53" s="425"/>
    </row>
    <row r="54" spans="2:9" x14ac:dyDescent="0.2">
      <c r="B54" s="425"/>
      <c r="C54" s="411"/>
      <c r="D54" s="425"/>
      <c r="E54" s="425"/>
      <c r="F54" s="425"/>
      <c r="G54" s="425"/>
      <c r="H54" s="425"/>
      <c r="I54" s="425"/>
    </row>
    <row r="55" spans="2:9" x14ac:dyDescent="0.2">
      <c r="B55" s="425" t="str">
        <f>ORÇ!A326</f>
        <v>14.1.9</v>
      </c>
      <c r="C55" s="411" t="str">
        <f>ORÇ!D326</f>
        <v>REGISTRO DE GAVETA BRUTO, LATÃO, ROSCÁVEL, 3/4", COM ACABAMENTO E CANOPLA CROMADOS - FORNECIMENTO E INSTALAÇÃO. AF_08/2021</v>
      </c>
      <c r="D55" s="425"/>
      <c r="E55" s="425"/>
      <c r="F55" s="425"/>
      <c r="G55" s="425"/>
      <c r="H55" s="425"/>
      <c r="I55" s="425"/>
    </row>
    <row r="56" spans="2:9" x14ac:dyDescent="0.2">
      <c r="B56" s="425"/>
      <c r="C56" s="411"/>
      <c r="D56" s="425"/>
      <c r="E56" s="425"/>
      <c r="F56" s="425"/>
      <c r="G56" s="425"/>
      <c r="H56" s="425"/>
      <c r="I56" s="425"/>
    </row>
    <row r="57" spans="2:9" x14ac:dyDescent="0.2">
      <c r="B57" s="425"/>
      <c r="C57" s="380" t="s">
        <v>248</v>
      </c>
      <c r="D57" s="381">
        <v>17</v>
      </c>
      <c r="E57" s="382" t="s">
        <v>96</v>
      </c>
      <c r="F57" s="425"/>
      <c r="G57" s="425"/>
      <c r="H57" s="425"/>
      <c r="I57" s="425"/>
    </row>
    <row r="58" spans="2:9" x14ac:dyDescent="0.2">
      <c r="B58" s="425"/>
      <c r="C58" s="411"/>
      <c r="D58" s="425"/>
      <c r="E58" s="425"/>
      <c r="F58" s="425"/>
      <c r="G58" s="425"/>
      <c r="H58" s="425"/>
      <c r="I58" s="425"/>
    </row>
    <row r="59" spans="2:9" x14ac:dyDescent="0.2">
      <c r="B59" s="425" t="str">
        <f>ORÇ!A327</f>
        <v>14.1.10</v>
      </c>
      <c r="C59" s="411" t="str">
        <f>ORÇ!D327</f>
        <v>Registro de pressao c/ canopla - 1"</v>
      </c>
      <c r="D59" s="425"/>
      <c r="E59" s="425"/>
      <c r="F59" s="425"/>
      <c r="G59" s="425"/>
      <c r="H59" s="425"/>
      <c r="I59" s="425"/>
    </row>
    <row r="60" spans="2:9" x14ac:dyDescent="0.2">
      <c r="B60" s="425"/>
      <c r="C60" s="411"/>
      <c r="D60" s="425"/>
      <c r="E60" s="425"/>
      <c r="F60" s="425"/>
      <c r="G60" s="425"/>
      <c r="H60" s="425"/>
      <c r="I60" s="425"/>
    </row>
    <row r="61" spans="2:9" x14ac:dyDescent="0.2">
      <c r="B61" s="425"/>
      <c r="C61" s="380" t="s">
        <v>248</v>
      </c>
      <c r="D61" s="381">
        <v>4</v>
      </c>
      <c r="E61" s="382" t="s">
        <v>96</v>
      </c>
      <c r="F61" s="425"/>
      <c r="G61" s="425"/>
      <c r="H61" s="425"/>
      <c r="I61" s="425"/>
    </row>
    <row r="62" spans="2:9" x14ac:dyDescent="0.2">
      <c r="B62" s="425"/>
      <c r="C62" s="411"/>
      <c r="D62" s="425"/>
      <c r="E62" s="425"/>
      <c r="F62" s="425"/>
      <c r="G62" s="425"/>
      <c r="H62" s="425"/>
      <c r="I62" s="425"/>
    </row>
    <row r="63" spans="2:9" x14ac:dyDescent="0.2">
      <c r="B63" s="425" t="str">
        <f>ORÇ!A328</f>
        <v>14.1.11</v>
      </c>
      <c r="C63" s="411" t="str">
        <f>ORÇ!D328</f>
        <v>LUVA, PVC, SOLDÁVEL, DN 32MM, INSTALADO EM PRUMADA DE ÁGUA - FORNECIMENTO E INSTALAÇÃO. AF_12/2014</v>
      </c>
      <c r="D63" s="425"/>
      <c r="E63" s="425"/>
      <c r="F63" s="425"/>
      <c r="G63" s="425"/>
      <c r="H63" s="425"/>
      <c r="I63" s="425"/>
    </row>
    <row r="64" spans="2:9" x14ac:dyDescent="0.2">
      <c r="B64" s="425"/>
      <c r="C64" s="411"/>
      <c r="D64" s="425"/>
      <c r="E64" s="425"/>
      <c r="F64" s="425"/>
      <c r="G64" s="425"/>
      <c r="H64" s="425"/>
      <c r="I64" s="425"/>
    </row>
    <row r="65" spans="2:17" x14ac:dyDescent="0.2">
      <c r="B65" s="425"/>
      <c r="C65" s="380" t="s">
        <v>248</v>
      </c>
      <c r="D65" s="381">
        <v>5</v>
      </c>
      <c r="E65" s="382" t="s">
        <v>96</v>
      </c>
      <c r="F65" s="425"/>
      <c r="G65" s="425"/>
      <c r="H65" s="425"/>
      <c r="I65" s="425"/>
    </row>
    <row r="66" spans="2:17" x14ac:dyDescent="0.2">
      <c r="B66" s="425"/>
      <c r="C66" s="411"/>
      <c r="D66" s="425"/>
      <c r="E66" s="425"/>
      <c r="F66" s="425"/>
      <c r="G66" s="425"/>
      <c r="H66" s="425"/>
      <c r="I66" s="425"/>
    </row>
    <row r="67" spans="2:17" x14ac:dyDescent="0.2">
      <c r="B67" s="425" t="str">
        <f>ORÇ!A329</f>
        <v>14.2</v>
      </c>
      <c r="C67" s="411" t="str">
        <f>ORÇ!D329</f>
        <v>Conexões Caixa d'água</v>
      </c>
      <c r="D67" s="425"/>
      <c r="E67" s="425"/>
      <c r="F67" s="425"/>
      <c r="G67" s="425"/>
      <c r="H67" s="425"/>
      <c r="I67" s="425"/>
    </row>
    <row r="68" spans="2:17" x14ac:dyDescent="0.2">
      <c r="B68" s="425" t="str">
        <f>ORÇ!A330</f>
        <v>14.2.1</v>
      </c>
      <c r="C68" s="411" t="str">
        <f>ORÇ!D330</f>
        <v>CURVA 90 GRAUS, PVC, SOLDÁVEL, DN 32MM, INSTALADO EM PRUMADA DE ÁGUA - FORNECIMENTO E INSTALAÇÃO. AF_12/2014</v>
      </c>
      <c r="D68" s="425"/>
      <c r="F68" s="425"/>
      <c r="G68" s="425"/>
      <c r="H68" s="425"/>
      <c r="I68" s="425"/>
    </row>
    <row r="69" spans="2:17" x14ac:dyDescent="0.2">
      <c r="B69" s="425"/>
      <c r="C69" s="411"/>
      <c r="D69" s="425"/>
      <c r="E69" s="425"/>
      <c r="F69" s="425"/>
      <c r="G69" s="425"/>
      <c r="H69" s="425"/>
      <c r="I69" s="425"/>
    </row>
    <row r="70" spans="2:17" x14ac:dyDescent="0.2">
      <c r="B70" s="425"/>
      <c r="C70" s="380" t="s">
        <v>248</v>
      </c>
      <c r="D70" s="381">
        <v>12</v>
      </c>
      <c r="E70" s="382" t="s">
        <v>96</v>
      </c>
      <c r="F70" s="425"/>
      <c r="G70" s="425"/>
      <c r="H70" s="425"/>
      <c r="I70" s="425"/>
    </row>
    <row r="71" spans="2:17" x14ac:dyDescent="0.2">
      <c r="B71" s="425"/>
      <c r="C71" s="411"/>
      <c r="D71" s="425"/>
      <c r="E71" s="425"/>
      <c r="F71" s="425"/>
      <c r="G71" s="425"/>
      <c r="H71" s="425"/>
      <c r="I71" s="425"/>
    </row>
    <row r="72" spans="2:17" x14ac:dyDescent="0.2">
      <c r="B72" s="425" t="str">
        <f>ORÇ!A331</f>
        <v>14.2.2</v>
      </c>
      <c r="C72" s="2002" t="str">
        <f>ORÇ!D331</f>
        <v>ADAPTADOR COM FLANGES LIVRES, PVC, SOLDÁVEL LONGO, DN 32 MM X 1 , INSTALADO EM RESERVAÇÃO DE ÁGUA DE EDIFICAÇÃO QUE POSSUA RESERVATÓRIO DE FIBRA/FIBROCIMENTO   FORNECIMENTO E INSTALAÇÃO. AF_06/2016</v>
      </c>
      <c r="D72" s="2002"/>
      <c r="E72" s="2002"/>
      <c r="F72" s="2002"/>
      <c r="G72" s="2002"/>
      <c r="H72" s="2002"/>
      <c r="I72" s="2002"/>
      <c r="J72" s="2002"/>
      <c r="K72" s="2002"/>
      <c r="L72" s="2002"/>
      <c r="M72" s="2002"/>
      <c r="N72" s="2002"/>
      <c r="O72" s="2002"/>
      <c r="P72" s="2002"/>
      <c r="Q72" s="2002"/>
    </row>
    <row r="73" spans="2:17" x14ac:dyDescent="0.2">
      <c r="B73" s="425"/>
      <c r="C73" s="411"/>
      <c r="D73" s="425"/>
      <c r="E73" s="425"/>
      <c r="F73" s="425"/>
      <c r="G73" s="425"/>
      <c r="H73" s="425"/>
      <c r="I73" s="425"/>
    </row>
    <row r="74" spans="2:17" x14ac:dyDescent="0.2">
      <c r="B74" s="425"/>
      <c r="C74" s="380" t="s">
        <v>248</v>
      </c>
      <c r="D74" s="381">
        <v>8</v>
      </c>
      <c r="E74" s="382" t="s">
        <v>96</v>
      </c>
      <c r="F74" s="425"/>
      <c r="G74" s="425"/>
      <c r="H74" s="425"/>
      <c r="I74" s="425"/>
    </row>
    <row r="75" spans="2:17" x14ac:dyDescent="0.2">
      <c r="B75" s="425"/>
      <c r="C75" s="411"/>
      <c r="D75" s="425"/>
      <c r="E75" s="425"/>
      <c r="F75" s="425"/>
      <c r="G75" s="425"/>
      <c r="H75" s="425"/>
      <c r="I75" s="425"/>
    </row>
    <row r="76" spans="2:17" x14ac:dyDescent="0.2">
      <c r="B76" s="425"/>
      <c r="C76" s="411"/>
      <c r="D76" s="425"/>
      <c r="E76" s="425"/>
      <c r="F76" s="425"/>
      <c r="G76" s="425"/>
      <c r="H76" s="425"/>
      <c r="I76" s="425"/>
    </row>
    <row r="77" spans="2:17" x14ac:dyDescent="0.2">
      <c r="B77" s="598" t="str">
        <f>ORÇ!A332</f>
        <v>14.2.3</v>
      </c>
      <c r="C77" s="2002" t="str">
        <f>ORÇ!D332</f>
        <v>LUVA SOLDÁVEL E COM ROSCA, PVC, SOLDÁVEL, DN 32MM X 1, INSTALADO EM PRUMADA DE ÁGUA - FORNECIMENTO E INSTALAÇÃO. AF_12/2014</v>
      </c>
      <c r="D77" s="2002"/>
      <c r="E77" s="2002"/>
      <c r="F77" s="2002"/>
      <c r="G77" s="2002"/>
      <c r="H77" s="2002"/>
      <c r="I77" s="2002"/>
      <c r="J77" s="2002"/>
      <c r="K77" s="2002"/>
      <c r="L77" s="2002"/>
      <c r="M77" s="2002"/>
      <c r="N77" s="2002"/>
      <c r="O77" s="2002"/>
      <c r="P77" s="2002"/>
      <c r="Q77" s="2002"/>
    </row>
    <row r="78" spans="2:17" x14ac:dyDescent="0.2">
      <c r="B78" s="425"/>
      <c r="C78" s="411"/>
      <c r="D78" s="425"/>
      <c r="E78" s="425"/>
      <c r="F78" s="425"/>
      <c r="G78" s="425"/>
      <c r="H78" s="425"/>
      <c r="I78" s="425"/>
    </row>
    <row r="79" spans="2:17" x14ac:dyDescent="0.2">
      <c r="B79" s="425"/>
      <c r="C79" s="380" t="s">
        <v>248</v>
      </c>
      <c r="D79" s="381">
        <v>2</v>
      </c>
      <c r="E79" s="382" t="s">
        <v>96</v>
      </c>
      <c r="F79" s="425"/>
      <c r="G79" s="425"/>
      <c r="H79" s="425"/>
      <c r="I79" s="425"/>
    </row>
    <row r="80" spans="2:17" x14ac:dyDescent="0.2">
      <c r="B80" s="425"/>
      <c r="C80" s="366"/>
      <c r="D80" s="425"/>
      <c r="E80" s="425"/>
      <c r="F80" s="425"/>
      <c r="G80" s="425"/>
      <c r="H80" s="425"/>
      <c r="I80" s="425"/>
    </row>
    <row r="81" spans="2:17" x14ac:dyDescent="0.2">
      <c r="B81" s="598" t="str">
        <f>ORÇ!A333</f>
        <v>14.2.4</v>
      </c>
      <c r="C81" s="2002" t="str">
        <f>ORÇ!D333</f>
        <v>TORNEIRA DE BÓIA REAL, ROSCÁVEL, 3/4", FORNECIDA E INSTALADA EM RESERVAÇÃO DE ÁGUA. AF_06/2016</v>
      </c>
      <c r="D81" s="2002"/>
      <c r="E81" s="2002"/>
      <c r="F81" s="2002"/>
      <c r="G81" s="2002"/>
      <c r="H81" s="2002"/>
      <c r="I81" s="2002"/>
      <c r="J81" s="2002"/>
      <c r="K81" s="2002"/>
      <c r="L81" s="2002"/>
      <c r="M81" s="2002"/>
      <c r="N81" s="2002"/>
      <c r="O81" s="2002"/>
      <c r="P81" s="2002"/>
      <c r="Q81" s="2002"/>
    </row>
    <row r="82" spans="2:17" x14ac:dyDescent="0.2">
      <c r="B82" s="425"/>
      <c r="C82" s="411"/>
      <c r="D82" s="425"/>
      <c r="E82" s="425"/>
      <c r="F82" s="425"/>
      <c r="G82" s="425"/>
      <c r="H82" s="425"/>
      <c r="I82" s="425"/>
    </row>
    <row r="83" spans="2:17" x14ac:dyDescent="0.2">
      <c r="B83" s="425"/>
      <c r="C83" s="380" t="s">
        <v>248</v>
      </c>
      <c r="D83" s="381">
        <v>2</v>
      </c>
      <c r="E83" s="382" t="s">
        <v>96</v>
      </c>
      <c r="F83" s="425"/>
      <c r="G83" s="425"/>
      <c r="H83" s="425"/>
      <c r="I83" s="425"/>
    </row>
    <row r="84" spans="2:17" x14ac:dyDescent="0.2">
      <c r="B84" s="425"/>
      <c r="C84" s="366"/>
      <c r="D84" s="425"/>
      <c r="E84" s="425"/>
      <c r="F84" s="425"/>
      <c r="G84" s="425"/>
      <c r="H84" s="425"/>
      <c r="I84" s="425"/>
    </row>
    <row r="85" spans="2:17" x14ac:dyDescent="0.2">
      <c r="B85" s="598" t="str">
        <f>ORÇ!A334</f>
        <v>14.2.5</v>
      </c>
      <c r="C85" s="2002" t="str">
        <f>ORÇ!D334</f>
        <v>REGISTRO DE GAVETA BRUTO, LATÃO, ROSCÁVEL, 1, INSTALADO EM RESERVAÇÃO DE ÁGUA DE EDIFICAÇÃO QUE POSSUA RESERVATÓRIO DE FIBRA/FIBROCIMENTO FORNECIMENTO E INSTALAÇÃO. AF_06/2016</v>
      </c>
      <c r="D85" s="2002"/>
      <c r="E85" s="2002"/>
      <c r="F85" s="2002"/>
      <c r="G85" s="2002"/>
      <c r="H85" s="2002"/>
      <c r="I85" s="2002"/>
      <c r="J85" s="2002"/>
      <c r="K85" s="2002"/>
      <c r="L85" s="2002"/>
      <c r="M85" s="2002"/>
      <c r="N85" s="2002"/>
      <c r="O85" s="2002"/>
      <c r="P85" s="2002"/>
      <c r="Q85" s="2002"/>
    </row>
    <row r="86" spans="2:17" x14ac:dyDescent="0.2">
      <c r="B86" s="425"/>
      <c r="C86" s="411"/>
      <c r="D86" s="425"/>
      <c r="E86" s="425"/>
      <c r="F86" s="425"/>
      <c r="G86" s="425"/>
      <c r="H86" s="425"/>
      <c r="I86" s="425"/>
    </row>
    <row r="87" spans="2:17" x14ac:dyDescent="0.2">
      <c r="B87" s="425"/>
      <c r="C87" s="380" t="s">
        <v>248</v>
      </c>
      <c r="D87" s="381">
        <v>4</v>
      </c>
      <c r="E87" s="382" t="s">
        <v>96</v>
      </c>
      <c r="F87" s="425"/>
      <c r="G87" s="425"/>
      <c r="H87" s="425"/>
      <c r="I87" s="425"/>
    </row>
    <row r="88" spans="2:17" x14ac:dyDescent="0.2">
      <c r="B88" s="425"/>
      <c r="C88" s="366"/>
      <c r="D88" s="425"/>
      <c r="E88" s="425"/>
      <c r="F88" s="425"/>
      <c r="G88" s="425"/>
      <c r="H88" s="425"/>
      <c r="I88" s="425"/>
    </row>
    <row r="89" spans="2:17" x14ac:dyDescent="0.2">
      <c r="B89" s="598" t="str">
        <f>ORÇ!A335</f>
        <v>14.2.6</v>
      </c>
      <c r="C89" s="2002" t="str">
        <f>ORÇ!D335</f>
        <v>ADAPTADOR CURTO COM BOLSA E ROSCA PARA REGISTRO, PVC, SOLDÁVEL, DN  25 MM X 3/4 , INSTALADO EM RESERVAÇÃO DE ÁGUA DE EDIFICAÇÃO QUE POSSUA RESERVATÓRIO DE FIBRA/FIBROCIMENTO   FORNECIMENTO E INSTALAÇÃO. AF_06/2016</v>
      </c>
      <c r="D89" s="2002"/>
      <c r="E89" s="2002"/>
      <c r="F89" s="2002"/>
      <c r="G89" s="2002"/>
      <c r="H89" s="2002"/>
      <c r="I89" s="2002"/>
      <c r="J89" s="2002"/>
      <c r="K89" s="2002"/>
      <c r="L89" s="2002"/>
      <c r="M89" s="2002"/>
      <c r="N89" s="2002"/>
      <c r="O89" s="2002"/>
      <c r="P89" s="2002"/>
      <c r="Q89" s="2002"/>
    </row>
    <row r="90" spans="2:17" x14ac:dyDescent="0.2">
      <c r="B90" s="425"/>
      <c r="C90" s="411"/>
      <c r="D90" s="425"/>
      <c r="E90" s="425"/>
      <c r="F90" s="425"/>
      <c r="G90" s="425"/>
      <c r="H90" s="425"/>
      <c r="I90" s="425"/>
    </row>
    <row r="91" spans="2:17" x14ac:dyDescent="0.2">
      <c r="B91" s="425"/>
      <c r="C91" s="380" t="s">
        <v>248</v>
      </c>
      <c r="D91" s="381">
        <v>8</v>
      </c>
      <c r="E91" s="382" t="s">
        <v>96</v>
      </c>
      <c r="F91" s="425"/>
      <c r="G91" s="425"/>
      <c r="H91" s="425"/>
      <c r="I91" s="425"/>
    </row>
    <row r="92" spans="2:17" x14ac:dyDescent="0.2">
      <c r="B92" s="425"/>
      <c r="C92" s="366"/>
      <c r="D92" s="425"/>
      <c r="E92" s="425"/>
      <c r="F92" s="425"/>
      <c r="G92" s="425"/>
      <c r="H92" s="425"/>
      <c r="I92" s="425"/>
    </row>
    <row r="93" spans="2:17" x14ac:dyDescent="0.2">
      <c r="B93" s="598" t="str">
        <f>ORÇ!A336</f>
        <v>14.2.7</v>
      </c>
      <c r="C93" s="2002" t="str">
        <f>ORÇ!D336</f>
        <v>TE, PVC, SOLDÁVEL, DN 32MM, INSTALADO EM PRUMADA DE ÁGUA - FORNECIMENTO E INSTALAÇÃO. AF_12/2014</v>
      </c>
      <c r="D93" s="2002"/>
      <c r="E93" s="2002"/>
      <c r="F93" s="2002"/>
      <c r="G93" s="2002"/>
      <c r="H93" s="2002"/>
      <c r="I93" s="2002"/>
      <c r="J93" s="2002"/>
      <c r="K93" s="2002"/>
      <c r="L93" s="2002"/>
      <c r="M93" s="2002"/>
      <c r="N93" s="2002"/>
      <c r="O93" s="2002"/>
      <c r="P93" s="2002"/>
      <c r="Q93" s="2002"/>
    </row>
    <row r="94" spans="2:17" x14ac:dyDescent="0.2">
      <c r="B94" s="425"/>
      <c r="C94" s="411"/>
      <c r="D94" s="425"/>
      <c r="E94" s="425"/>
      <c r="F94" s="425"/>
      <c r="G94" s="425"/>
      <c r="H94" s="425"/>
      <c r="I94" s="425"/>
    </row>
    <row r="95" spans="2:17" x14ac:dyDescent="0.2">
      <c r="B95" s="425"/>
      <c r="C95" s="380" t="s">
        <v>248</v>
      </c>
      <c r="D95" s="381">
        <v>3</v>
      </c>
      <c r="E95" s="382" t="s">
        <v>96</v>
      </c>
      <c r="F95" s="425"/>
      <c r="G95" s="425"/>
      <c r="H95" s="425"/>
      <c r="I95" s="425"/>
    </row>
    <row r="96" spans="2:17" x14ac:dyDescent="0.2">
      <c r="B96" s="425"/>
      <c r="C96" s="366"/>
      <c r="D96" s="425"/>
      <c r="E96" s="425"/>
      <c r="F96" s="425"/>
      <c r="G96" s="425"/>
      <c r="H96" s="425"/>
      <c r="I96" s="425"/>
    </row>
    <row r="97" spans="2:17" x14ac:dyDescent="0.2">
      <c r="B97" s="598" t="str">
        <f>ORÇ!A337</f>
        <v>14.2.8</v>
      </c>
      <c r="C97" s="2002" t="str">
        <f>ORÇ!D337</f>
        <v>TUBO, PVC, SOLDÁVEL, DN 32 MM, INSTALADO EM RESERVAÇÃO DE ÁGUA DE EDIFICAÇÃO QUE POSSUA RESERVATÓRIO DE FIBRA/FIBROCIMENTO   FORNECIMENTO E INSTALAÇÃO. AF_06/2016</v>
      </c>
      <c r="D97" s="2002"/>
      <c r="E97" s="2002"/>
      <c r="F97" s="2002"/>
      <c r="G97" s="2002"/>
      <c r="H97" s="2002"/>
      <c r="I97" s="2002"/>
      <c r="J97" s="2002"/>
      <c r="K97" s="2002"/>
      <c r="L97" s="2002"/>
      <c r="M97" s="2002"/>
      <c r="N97" s="2002"/>
      <c r="O97" s="2002"/>
      <c r="P97" s="2002"/>
      <c r="Q97" s="2002"/>
    </row>
    <row r="98" spans="2:17" x14ac:dyDescent="0.2">
      <c r="B98" s="425"/>
      <c r="C98" s="411"/>
      <c r="D98" s="425"/>
      <c r="E98" s="425"/>
      <c r="F98" s="425"/>
      <c r="G98" s="425"/>
      <c r="H98" s="425"/>
      <c r="I98" s="425"/>
    </row>
    <row r="99" spans="2:17" x14ac:dyDescent="0.2">
      <c r="B99" s="425"/>
      <c r="C99" s="380" t="s">
        <v>248</v>
      </c>
      <c r="D99" s="381">
        <v>18</v>
      </c>
      <c r="E99" s="382" t="s">
        <v>17</v>
      </c>
      <c r="F99" s="425"/>
      <c r="G99" s="425"/>
      <c r="H99" s="425"/>
      <c r="I99" s="425"/>
    </row>
    <row r="100" spans="2:17" x14ac:dyDescent="0.2">
      <c r="B100" s="425"/>
      <c r="C100" s="366"/>
      <c r="D100" s="425"/>
      <c r="E100" s="425"/>
      <c r="F100" s="425"/>
      <c r="G100" s="425"/>
      <c r="H100" s="425"/>
      <c r="I100" s="425"/>
    </row>
    <row r="101" spans="2:17" x14ac:dyDescent="0.2">
      <c r="B101" s="598" t="str">
        <f>ORÇ!A338</f>
        <v>14.2.9</v>
      </c>
      <c r="C101" s="2002" t="str">
        <f>ORÇ!D338</f>
        <v>FIXAÇÃO DE TUBOS HORIZONTAIS DE PVC, CPVC OU COBRE DIÂMETROS MENORES OU IGUAIS A 40 MM COM ABRAÇADEIRA METÁLICA RÍGIDA TIPO  D  1/2" , FIXADA DIRETAMENTE NA LAJE. AF_05/2015</v>
      </c>
      <c r="D101" s="2002"/>
      <c r="E101" s="2002"/>
      <c r="F101" s="2002"/>
      <c r="G101" s="2002"/>
      <c r="H101" s="2002"/>
      <c r="I101" s="2002"/>
      <c r="J101" s="2002"/>
      <c r="K101" s="2002"/>
      <c r="L101" s="2002"/>
      <c r="M101" s="2002"/>
      <c r="N101" s="2002"/>
      <c r="O101" s="2002"/>
      <c r="P101" s="2002"/>
      <c r="Q101" s="2002"/>
    </row>
    <row r="102" spans="2:17" x14ac:dyDescent="0.2">
      <c r="B102" s="425"/>
      <c r="C102" s="411"/>
      <c r="D102" s="425"/>
      <c r="E102" s="425"/>
      <c r="F102" s="425"/>
      <c r="G102" s="425"/>
      <c r="H102" s="425"/>
      <c r="I102" s="425"/>
    </row>
    <row r="103" spans="2:17" x14ac:dyDescent="0.2">
      <c r="B103" s="425"/>
      <c r="C103" s="380" t="s">
        <v>248</v>
      </c>
      <c r="D103" s="381">
        <v>18</v>
      </c>
      <c r="E103" s="382" t="s">
        <v>17</v>
      </c>
      <c r="F103" s="425"/>
      <c r="G103" s="425"/>
      <c r="H103" s="425"/>
      <c r="I103" s="425"/>
    </row>
    <row r="104" spans="2:17" x14ac:dyDescent="0.2">
      <c r="B104" s="425"/>
      <c r="C104" s="366"/>
      <c r="D104" s="425"/>
      <c r="E104" s="425"/>
      <c r="F104" s="425"/>
      <c r="G104" s="425"/>
      <c r="H104" s="425"/>
      <c r="I104" s="425"/>
    </row>
    <row r="105" spans="2:17" x14ac:dyDescent="0.2">
      <c r="B105" s="598" t="str">
        <f>ORÇ!A339</f>
        <v>14.2.10</v>
      </c>
      <c r="C105" s="2002" t="str">
        <f>ORÇ!D339</f>
        <v>FORNECIMENTO E INSTALAÇÃO DE CAIXA D'ÁGUA EM FIBRA DE VIDRO, 2000 LITROS, INCLUINDO FURO COM ESPESSURA DE 2 ATÉ 5MM.</v>
      </c>
      <c r="D105" s="2002"/>
      <c r="E105" s="2002"/>
      <c r="F105" s="2002"/>
      <c r="G105" s="2002"/>
      <c r="H105" s="2002"/>
      <c r="I105" s="2002"/>
      <c r="J105" s="2002"/>
      <c r="K105" s="2002"/>
      <c r="L105" s="2002"/>
      <c r="M105" s="2002"/>
      <c r="N105" s="2002"/>
      <c r="O105" s="2002"/>
      <c r="P105" s="2002"/>
      <c r="Q105" s="2002"/>
    </row>
    <row r="106" spans="2:17" x14ac:dyDescent="0.2">
      <c r="B106" s="425"/>
      <c r="C106" s="411"/>
      <c r="D106" s="425"/>
      <c r="E106" s="425"/>
      <c r="F106" s="425"/>
      <c r="G106" s="425"/>
      <c r="H106" s="425"/>
      <c r="I106" s="425"/>
    </row>
    <row r="107" spans="2:17" x14ac:dyDescent="0.2">
      <c r="B107" s="425"/>
      <c r="C107" s="380" t="s">
        <v>248</v>
      </c>
      <c r="D107" s="381">
        <v>2</v>
      </c>
      <c r="E107" s="382" t="s">
        <v>96</v>
      </c>
      <c r="F107" s="425"/>
      <c r="G107" s="425"/>
      <c r="H107" s="425"/>
      <c r="I107" s="425"/>
    </row>
    <row r="108" spans="2:17" s="1408" customFormat="1" x14ac:dyDescent="0.2">
      <c r="B108" s="1431"/>
      <c r="C108" s="1432"/>
      <c r="D108" s="1431"/>
      <c r="E108" s="1431"/>
      <c r="F108" s="1431"/>
      <c r="G108" s="1431"/>
      <c r="H108" s="1431"/>
      <c r="I108" s="1431"/>
    </row>
    <row r="109" spans="2:17" x14ac:dyDescent="0.2">
      <c r="B109" s="425" t="str">
        <f>ORÇ!A340</f>
        <v>14.3</v>
      </c>
      <c r="C109" s="411" t="str">
        <f>ORÇ!D340</f>
        <v>Águas Pluviais</v>
      </c>
      <c r="D109" s="425"/>
      <c r="E109" s="425"/>
      <c r="F109" s="425"/>
      <c r="G109" s="425"/>
      <c r="H109" s="425"/>
      <c r="I109" s="425"/>
    </row>
    <row r="110" spans="2:17" x14ac:dyDescent="0.2">
      <c r="B110" s="425" t="str">
        <f>ORÇ!A341</f>
        <v>14.3.1</v>
      </c>
      <c r="C110" s="2002" t="str">
        <f>ORÇ!D341</f>
        <v>TUBO PVC, SÉRIE R, ÁGUA PLUVIAL, DN 100 MM, FORNECIDO E INSTALADO EM CONDUTORES VERTICAIS DE ÁGUAS PLUVIAIS. AF_12/2014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</row>
    <row r="111" spans="2:17" x14ac:dyDescent="0.2">
      <c r="B111" s="425"/>
      <c r="C111" s="411"/>
      <c r="D111" s="425"/>
      <c r="E111" s="425"/>
      <c r="F111" s="425"/>
      <c r="G111" s="425"/>
      <c r="H111" s="425"/>
      <c r="I111" s="425"/>
    </row>
    <row r="112" spans="2:17" x14ac:dyDescent="0.2">
      <c r="B112" s="425"/>
      <c r="C112" s="380" t="s">
        <v>50</v>
      </c>
      <c r="D112" s="381">
        <v>180</v>
      </c>
      <c r="E112" s="382" t="s">
        <v>17</v>
      </c>
      <c r="F112" s="425"/>
      <c r="G112" s="425"/>
      <c r="H112" s="425"/>
      <c r="I112" s="425"/>
    </row>
    <row r="113" spans="2:9" x14ac:dyDescent="0.2">
      <c r="B113" s="425"/>
      <c r="C113" s="411"/>
      <c r="D113" s="425"/>
      <c r="E113" s="425"/>
      <c r="F113" s="425"/>
      <c r="G113" s="425"/>
      <c r="H113" s="425"/>
      <c r="I113" s="425"/>
    </row>
    <row r="114" spans="2:9" x14ac:dyDescent="0.2">
      <c r="B114" s="425" t="str">
        <f>ORÇ!A342</f>
        <v>14.3.2</v>
      </c>
      <c r="C114" s="411" t="str">
        <f>ORÇ!D342</f>
        <v>RALO FOFO SEMIESFERICO, 100 MM, PARA LAJES/ CALHAS. FORNECIMENTO E INSTALAÇÃO</v>
      </c>
      <c r="D114" s="425"/>
      <c r="E114" s="425"/>
      <c r="F114" s="425"/>
      <c r="G114" s="425"/>
      <c r="H114" s="425"/>
      <c r="I114" s="425"/>
    </row>
    <row r="115" spans="2:9" x14ac:dyDescent="0.2">
      <c r="B115" s="425"/>
      <c r="C115" s="411"/>
      <c r="D115" s="425"/>
      <c r="E115" s="425"/>
      <c r="F115" s="425"/>
      <c r="G115" s="425"/>
      <c r="H115" s="425"/>
      <c r="I115" s="425"/>
    </row>
    <row r="116" spans="2:9" x14ac:dyDescent="0.2">
      <c r="B116" s="425"/>
      <c r="C116" s="380" t="s">
        <v>248</v>
      </c>
      <c r="D116" s="381">
        <v>11</v>
      </c>
      <c r="E116" s="382" t="s">
        <v>96</v>
      </c>
      <c r="F116" s="425"/>
      <c r="G116" s="425"/>
      <c r="H116" s="425"/>
      <c r="I116" s="425"/>
    </row>
    <row r="117" spans="2:9" x14ac:dyDescent="0.2">
      <c r="B117" s="425"/>
      <c r="C117" s="411"/>
      <c r="D117" s="425"/>
      <c r="E117" s="425"/>
      <c r="F117" s="425"/>
      <c r="G117" s="425"/>
      <c r="H117" s="425"/>
      <c r="I117" s="425"/>
    </row>
    <row r="118" spans="2:9" x14ac:dyDescent="0.2">
      <c r="B118" s="1430" t="str">
        <f>ORÇ!A343</f>
        <v>14.3.3</v>
      </c>
      <c r="C118" s="411" t="str">
        <f>ORÇ!D343</f>
        <v>FIXAÇÃO DE TUBOS VERTICAIS DE PPR DIÂMETROS MAIORES QUE 75 MM COM ABRAÇADEIRA METÁLICA RÍGIDA TIPO D 3", FIXADA EM PERFILADO EM ALVENARIA. AF_05/2015</v>
      </c>
      <c r="D118" s="425"/>
      <c r="E118" s="425"/>
      <c r="F118" s="425"/>
      <c r="G118" s="425"/>
      <c r="H118" s="425"/>
      <c r="I118" s="425"/>
    </row>
    <row r="119" spans="2:9" x14ac:dyDescent="0.2">
      <c r="B119" s="1430"/>
      <c r="C119" s="411"/>
      <c r="D119" s="425"/>
      <c r="E119" s="425"/>
      <c r="F119" s="425"/>
      <c r="G119" s="425"/>
      <c r="H119" s="425"/>
      <c r="I119" s="425"/>
    </row>
    <row r="120" spans="2:9" x14ac:dyDescent="0.2">
      <c r="B120" s="425"/>
      <c r="C120" s="380" t="s">
        <v>50</v>
      </c>
      <c r="D120" s="381">
        <f>D112</f>
        <v>180</v>
      </c>
      <c r="E120" s="382" t="s">
        <v>17</v>
      </c>
      <c r="F120" s="425"/>
      <c r="G120" s="425"/>
      <c r="H120" s="425"/>
      <c r="I120" s="425"/>
    </row>
    <row r="121" spans="2:9" x14ac:dyDescent="0.2">
      <c r="B121" s="425"/>
      <c r="C121" s="411"/>
      <c r="D121" s="425"/>
      <c r="E121" s="425"/>
      <c r="F121" s="425"/>
      <c r="G121" s="425"/>
      <c r="H121" s="425"/>
      <c r="I121" s="425"/>
    </row>
    <row r="122" spans="2:9" x14ac:dyDescent="0.2">
      <c r="B122" s="425" t="str">
        <f>ORÇ!A344</f>
        <v>14.3.4</v>
      </c>
      <c r="C122" s="411" t="str">
        <f>ORÇ!D344</f>
        <v>CURVA 90 GRAUS, PVC, SERIE R, ÁGUA PLUVIAL, DN 100 MM, JUNTA ELÁSTICA, FORNECIDO E INSTALADO EM CONDUTORES VERTICAIS DE ÁGUAS PLUVIAIS. AF_12/2014</v>
      </c>
      <c r="D122" s="425"/>
      <c r="E122" s="425"/>
      <c r="F122" s="425"/>
      <c r="G122" s="425"/>
      <c r="H122" s="425"/>
      <c r="I122" s="425"/>
    </row>
    <row r="123" spans="2:9" x14ac:dyDescent="0.2">
      <c r="B123" s="425"/>
      <c r="C123" s="411"/>
      <c r="D123" s="425"/>
      <c r="E123" s="425"/>
      <c r="F123" s="425"/>
      <c r="G123" s="425"/>
      <c r="H123" s="425"/>
      <c r="I123" s="425"/>
    </row>
    <row r="124" spans="2:9" x14ac:dyDescent="0.2">
      <c r="B124" s="425"/>
      <c r="C124" s="380" t="s">
        <v>248</v>
      </c>
      <c r="D124" s="381">
        <v>11</v>
      </c>
      <c r="E124" s="382" t="s">
        <v>96</v>
      </c>
      <c r="F124" s="425"/>
      <c r="G124" s="425"/>
      <c r="H124" s="425"/>
      <c r="I124" s="425"/>
    </row>
    <row r="125" spans="2:9" x14ac:dyDescent="0.2">
      <c r="B125" s="425"/>
      <c r="C125" s="411"/>
      <c r="D125" s="425"/>
      <c r="E125" s="425"/>
      <c r="F125" s="425"/>
      <c r="G125" s="425"/>
      <c r="H125" s="425"/>
      <c r="I125" s="425"/>
    </row>
    <row r="126" spans="2:9" x14ac:dyDescent="0.2">
      <c r="B126" s="425" t="str">
        <f>ORÇ!A345</f>
        <v>14.3.5</v>
      </c>
      <c r="C126" s="411" t="str">
        <f>ORÇ!D345</f>
        <v>CAIXA ENTERRADA HIDRÁULICA RETANGULAR, EM CONCRETO PRÉ-MOLDADO, DIMENSÕES INTERNAS: 0,6X0,6X0,5 M. AF_12/2020</v>
      </c>
      <c r="D126" s="425"/>
      <c r="E126" s="425"/>
      <c r="F126" s="425"/>
      <c r="G126" s="425"/>
      <c r="H126" s="425"/>
      <c r="I126" s="425"/>
    </row>
    <row r="127" spans="2:9" x14ac:dyDescent="0.2">
      <c r="B127" s="425"/>
      <c r="C127" s="411"/>
      <c r="D127" s="425"/>
      <c r="E127" s="425"/>
      <c r="F127" s="425"/>
      <c r="G127" s="425"/>
      <c r="H127" s="425"/>
      <c r="I127" s="425"/>
    </row>
    <row r="128" spans="2:9" x14ac:dyDescent="0.2">
      <c r="B128" s="425"/>
      <c r="C128" s="380" t="s">
        <v>248</v>
      </c>
      <c r="D128" s="381">
        <v>12</v>
      </c>
      <c r="E128" s="382" t="s">
        <v>96</v>
      </c>
      <c r="F128" s="425"/>
      <c r="G128" s="425"/>
      <c r="H128" s="425"/>
      <c r="I128" s="425"/>
    </row>
    <row r="129" spans="2:12" x14ac:dyDescent="0.2">
      <c r="B129" s="425"/>
      <c r="C129" s="411"/>
      <c r="D129" s="425"/>
      <c r="E129" s="425"/>
      <c r="F129" s="425"/>
      <c r="G129" s="425"/>
      <c r="H129" s="425"/>
      <c r="I129" s="425"/>
    </row>
    <row r="130" spans="2:12" x14ac:dyDescent="0.2">
      <c r="B130" s="425" t="str">
        <f>ORÇ!A346</f>
        <v>14.3.6</v>
      </c>
      <c r="C130" s="411" t="str">
        <f>ORÇ!D346</f>
        <v>Canaleta em concreto simples (0,40x0,40m)</v>
      </c>
      <c r="D130" s="425"/>
      <c r="E130" s="425"/>
      <c r="F130" s="425"/>
      <c r="G130" s="425"/>
      <c r="H130" s="425"/>
      <c r="I130" s="425"/>
    </row>
    <row r="131" spans="2:12" x14ac:dyDescent="0.2">
      <c r="B131" s="425"/>
      <c r="C131" s="411"/>
      <c r="D131" s="425"/>
      <c r="E131" s="425"/>
      <c r="F131" s="425"/>
      <c r="G131" s="425"/>
      <c r="H131" s="425"/>
      <c r="I131" s="425"/>
    </row>
    <row r="132" spans="2:12" s="38" customFormat="1" x14ac:dyDescent="0.2">
      <c r="B132" s="351"/>
      <c r="C132" s="1353" t="s">
        <v>224</v>
      </c>
      <c r="D132" s="1353" t="s">
        <v>250</v>
      </c>
      <c r="K132" s="1351"/>
    </row>
    <row r="133" spans="2:12" s="331" customFormat="1" x14ac:dyDescent="0.2">
      <c r="B133" s="1409"/>
      <c r="C133" s="2003" t="s">
        <v>487</v>
      </c>
      <c r="D133" s="1429">
        <v>2.58</v>
      </c>
      <c r="K133" s="1354"/>
    </row>
    <row r="134" spans="2:12" s="331" customFormat="1" x14ac:dyDescent="0.2">
      <c r="B134" s="1409"/>
      <c r="C134" s="2004"/>
      <c r="D134" s="1429">
        <v>18.2</v>
      </c>
      <c r="K134" s="1354"/>
    </row>
    <row r="135" spans="2:12" s="331" customFormat="1" x14ac:dyDescent="0.2">
      <c r="B135" s="1409"/>
      <c r="C135" s="2004"/>
      <c r="D135" s="1429">
        <v>3.8</v>
      </c>
      <c r="K135" s="1354"/>
    </row>
    <row r="136" spans="2:12" s="331" customFormat="1" x14ac:dyDescent="0.2">
      <c r="B136" s="1409"/>
      <c r="C136" s="2004"/>
      <c r="D136" s="1429">
        <v>12.15</v>
      </c>
      <c r="K136" s="1354"/>
    </row>
    <row r="137" spans="2:12" s="331" customFormat="1" x14ac:dyDescent="0.2">
      <c r="B137" s="1409"/>
      <c r="C137" s="2005"/>
      <c r="D137" s="1429">
        <v>10.7</v>
      </c>
      <c r="K137" s="1354"/>
    </row>
    <row r="138" spans="2:12" x14ac:dyDescent="0.2">
      <c r="B138" s="425"/>
      <c r="C138" s="411"/>
      <c r="D138" s="425"/>
      <c r="E138" s="425"/>
      <c r="F138" s="425"/>
      <c r="G138" s="425"/>
      <c r="H138" s="425"/>
      <c r="I138" s="425"/>
    </row>
    <row r="139" spans="2:12" x14ac:dyDescent="0.2">
      <c r="B139" s="425"/>
      <c r="C139" s="380" t="s">
        <v>248</v>
      </c>
      <c r="D139" s="381">
        <f>ROUND(SUM(D133:D137),2)</f>
        <v>47.43</v>
      </c>
      <c r="E139" s="382" t="s">
        <v>17</v>
      </c>
      <c r="F139" s="425"/>
      <c r="G139" s="425"/>
      <c r="H139" s="425"/>
      <c r="I139" s="425"/>
    </row>
    <row r="140" spans="2:12" x14ac:dyDescent="0.2">
      <c r="B140" s="425"/>
      <c r="C140" s="411"/>
      <c r="D140" s="425"/>
      <c r="E140" s="425"/>
      <c r="F140" s="425"/>
      <c r="G140" s="425"/>
      <c r="H140" s="425"/>
      <c r="I140" s="425"/>
    </row>
    <row r="141" spans="2:12" ht="15" x14ac:dyDescent="0.25">
      <c r="B141" s="363" t="str">
        <f>ORÇ!A347</f>
        <v>14.3.7</v>
      </c>
      <c r="C141" s="365" t="str">
        <f>ORÇ!D347</f>
        <v>Manta asfáltica SBS-3mm c/ filme de polietileno</v>
      </c>
      <c r="D141" s="364"/>
      <c r="E141" s="364"/>
      <c r="F141" s="364"/>
      <c r="G141" s="364"/>
      <c r="H141" s="364"/>
      <c r="I141" s="364"/>
      <c r="J141" s="364"/>
      <c r="K141" s="364"/>
      <c r="L141" s="364"/>
    </row>
    <row r="142" spans="2:12" ht="15" x14ac:dyDescent="0.25">
      <c r="B142" s="363"/>
      <c r="C142" s="365"/>
      <c r="D142" s="364"/>
      <c r="E142" s="364"/>
      <c r="F142" s="364"/>
      <c r="G142" s="364"/>
      <c r="H142" s="364"/>
      <c r="I142" s="364"/>
      <c r="J142" s="364"/>
      <c r="K142" s="364"/>
      <c r="L142" s="364"/>
    </row>
    <row r="143" spans="2:12" s="358" customFormat="1" ht="15" x14ac:dyDescent="0.2">
      <c r="B143" s="1410"/>
      <c r="C143" s="1428" t="s">
        <v>225</v>
      </c>
      <c r="D143" s="1427"/>
      <c r="E143" s="2006" t="s">
        <v>1431</v>
      </c>
      <c r="F143" s="2006"/>
      <c r="G143" s="1427"/>
      <c r="H143" s="1427" t="s">
        <v>335</v>
      </c>
      <c r="I143" s="1426"/>
      <c r="J143" s="1426"/>
      <c r="K143" s="1426"/>
      <c r="L143" s="1426"/>
    </row>
    <row r="144" spans="2:12" s="804" customFormat="1" ht="14.25" x14ac:dyDescent="0.2">
      <c r="B144" s="1425"/>
      <c r="C144" s="1424">
        <f>D139</f>
        <v>47.43</v>
      </c>
      <c r="D144" s="1423" t="s">
        <v>71</v>
      </c>
      <c r="E144" s="2007">
        <f>0.4+0.4+0.4</f>
        <v>1.2000000000000002</v>
      </c>
      <c r="F144" s="2007"/>
      <c r="G144" s="1423" t="s">
        <v>72</v>
      </c>
      <c r="H144" s="1423">
        <f>ROUND(C144*E144,2)</f>
        <v>56.92</v>
      </c>
      <c r="I144" s="1422"/>
      <c r="J144" s="1422"/>
      <c r="K144" s="1422"/>
      <c r="L144" s="1422"/>
    </row>
    <row r="145" spans="2:12" x14ac:dyDescent="0.2">
      <c r="B145" s="425"/>
      <c r="C145" s="411"/>
      <c r="D145" s="425"/>
      <c r="E145" s="425"/>
      <c r="F145" s="425"/>
      <c r="G145" s="425"/>
      <c r="H145" s="425"/>
      <c r="I145" s="425"/>
    </row>
    <row r="146" spans="2:12" s="1409" customFormat="1" x14ac:dyDescent="0.2">
      <c r="B146" s="598"/>
      <c r="C146" s="1415" t="s">
        <v>248</v>
      </c>
      <c r="D146" s="1414">
        <f>H144</f>
        <v>56.92</v>
      </c>
      <c r="E146" s="1413" t="s">
        <v>6</v>
      </c>
      <c r="F146" s="598"/>
      <c r="G146" s="598"/>
      <c r="H146" s="598"/>
      <c r="I146" s="598"/>
    </row>
    <row r="147" spans="2:12" x14ac:dyDescent="0.2">
      <c r="B147" s="425"/>
      <c r="C147" s="411"/>
      <c r="D147" s="425"/>
      <c r="E147" s="425"/>
      <c r="F147" s="425"/>
      <c r="G147" s="425"/>
      <c r="H147" s="425"/>
      <c r="I147" s="425"/>
    </row>
    <row r="148" spans="2:12" ht="15" x14ac:dyDescent="0.25">
      <c r="B148" s="363" t="str">
        <f>ORÇ!A348</f>
        <v>14.3.8</v>
      </c>
      <c r="C148" s="365" t="str">
        <f>ORÇ!D348</f>
        <v>PROTEÇÃO MECÂNICA DE SUPERFÍCIE HORIZONTAL COM ARGAMASSA DE CIMENTO E AREIA, TRAÇO 1:3, E=2CM. AF_06/2018</v>
      </c>
      <c r="D148" s="364"/>
      <c r="E148" s="364"/>
      <c r="F148" s="364"/>
      <c r="G148" s="364"/>
      <c r="H148" s="364"/>
      <c r="I148" s="364"/>
      <c r="J148" s="364"/>
      <c r="K148" s="364"/>
      <c r="L148" s="364"/>
    </row>
    <row r="149" spans="2:12" x14ac:dyDescent="0.2">
      <c r="B149" s="425"/>
      <c r="C149" s="411"/>
      <c r="D149" s="425"/>
      <c r="E149" s="425"/>
      <c r="F149" s="425"/>
      <c r="G149" s="425"/>
      <c r="H149" s="425"/>
      <c r="I149" s="425"/>
    </row>
    <row r="150" spans="2:12" s="358" customFormat="1" ht="15" x14ac:dyDescent="0.2">
      <c r="B150" s="1410"/>
      <c r="C150" s="1428" t="s">
        <v>225</v>
      </c>
      <c r="D150" s="1427"/>
      <c r="E150" s="2006" t="s">
        <v>1430</v>
      </c>
      <c r="F150" s="2006"/>
      <c r="G150" s="1427"/>
      <c r="H150" s="1427" t="s">
        <v>335</v>
      </c>
      <c r="I150" s="1426"/>
      <c r="J150" s="1426"/>
      <c r="K150" s="1426"/>
      <c r="L150" s="1426"/>
    </row>
    <row r="151" spans="2:12" s="804" customFormat="1" ht="14.25" x14ac:dyDescent="0.2">
      <c r="B151" s="1425"/>
      <c r="C151" s="1424">
        <f>$D$139</f>
        <v>47.43</v>
      </c>
      <c r="D151" s="1423" t="s">
        <v>71</v>
      </c>
      <c r="E151" s="2007">
        <v>0.4</v>
      </c>
      <c r="F151" s="2007"/>
      <c r="G151" s="1423" t="s">
        <v>72</v>
      </c>
      <c r="H151" s="1423">
        <f>ROUND(C151*E151,2)</f>
        <v>18.97</v>
      </c>
      <c r="I151" s="1422"/>
      <c r="J151" s="1422"/>
      <c r="K151" s="1422"/>
      <c r="L151" s="1422"/>
    </row>
    <row r="152" spans="2:12" x14ac:dyDescent="0.2">
      <c r="B152" s="425"/>
      <c r="C152" s="411"/>
      <c r="D152" s="425"/>
      <c r="E152" s="425"/>
      <c r="F152" s="425"/>
      <c r="G152" s="425"/>
      <c r="H152" s="425"/>
      <c r="I152" s="425"/>
    </row>
    <row r="153" spans="2:12" s="1409" customFormat="1" x14ac:dyDescent="0.2">
      <c r="B153" s="598"/>
      <c r="C153" s="1415" t="s">
        <v>248</v>
      </c>
      <c r="D153" s="1414">
        <f>H151</f>
        <v>18.97</v>
      </c>
      <c r="E153" s="1413" t="s">
        <v>6</v>
      </c>
      <c r="F153" s="598"/>
      <c r="G153" s="598"/>
      <c r="H153" s="598"/>
      <c r="I153" s="598"/>
    </row>
    <row r="154" spans="2:12" x14ac:dyDescent="0.2">
      <c r="B154" s="425"/>
      <c r="C154" s="411"/>
      <c r="D154" s="425"/>
      <c r="E154" s="425"/>
      <c r="F154" s="425"/>
      <c r="G154" s="425"/>
      <c r="H154" s="425"/>
      <c r="I154" s="425"/>
    </row>
    <row r="155" spans="2:12" ht="15" x14ac:dyDescent="0.25">
      <c r="B155" s="363" t="str">
        <f>ORÇ!A349</f>
        <v>14.3.9</v>
      </c>
      <c r="C155" s="365" t="str">
        <f>ORÇ!D349</f>
        <v>PROTEÇÃO MECÂNICA DE SUPERFÍCIE VERTICAL COM ARGAMASSA DE CIMENTO E AREIA, TRAÇO 1:3, E=2CM. AF_06/2018</v>
      </c>
      <c r="D155" s="364"/>
      <c r="E155" s="364"/>
      <c r="F155" s="364"/>
      <c r="G155" s="364"/>
      <c r="H155" s="364"/>
      <c r="I155" s="364"/>
      <c r="J155" s="364"/>
      <c r="K155" s="364"/>
      <c r="L155" s="364"/>
    </row>
    <row r="156" spans="2:12" x14ac:dyDescent="0.2">
      <c r="B156" s="425"/>
      <c r="C156" s="411"/>
      <c r="D156" s="425"/>
      <c r="E156" s="425"/>
      <c r="F156" s="425"/>
      <c r="G156" s="425"/>
      <c r="H156" s="425"/>
      <c r="I156" s="425"/>
    </row>
    <row r="157" spans="2:12" s="358" customFormat="1" ht="15" x14ac:dyDescent="0.2">
      <c r="B157" s="1410"/>
      <c r="C157" s="1428" t="s">
        <v>225</v>
      </c>
      <c r="D157" s="1427"/>
      <c r="E157" s="2006" t="s">
        <v>1430</v>
      </c>
      <c r="F157" s="2006"/>
      <c r="G157" s="1427"/>
      <c r="H157" s="1427" t="s">
        <v>335</v>
      </c>
      <c r="I157" s="1426"/>
      <c r="J157" s="1426"/>
      <c r="K157" s="1426"/>
      <c r="L157" s="1426"/>
    </row>
    <row r="158" spans="2:12" s="804" customFormat="1" ht="14.25" x14ac:dyDescent="0.2">
      <c r="B158" s="1425"/>
      <c r="C158" s="1424">
        <f>$D$139</f>
        <v>47.43</v>
      </c>
      <c r="D158" s="1423" t="s">
        <v>71</v>
      </c>
      <c r="E158" s="2007">
        <v>0.8</v>
      </c>
      <c r="F158" s="2007"/>
      <c r="G158" s="1423" t="s">
        <v>72</v>
      </c>
      <c r="H158" s="1423">
        <f>ROUND(C158*E158,2)</f>
        <v>37.94</v>
      </c>
      <c r="I158" s="1422"/>
      <c r="J158" s="1422"/>
      <c r="K158" s="1422"/>
      <c r="L158" s="1422"/>
    </row>
    <row r="159" spans="2:12" x14ac:dyDescent="0.2">
      <c r="B159" s="425"/>
      <c r="C159" s="411"/>
      <c r="D159" s="425"/>
      <c r="E159" s="425"/>
      <c r="F159" s="425"/>
      <c r="G159" s="425"/>
      <c r="H159" s="425"/>
      <c r="I159" s="425"/>
    </row>
    <row r="160" spans="2:12" s="1409" customFormat="1" x14ac:dyDescent="0.2">
      <c r="B160" s="598"/>
      <c r="C160" s="1415" t="s">
        <v>248</v>
      </c>
      <c r="D160" s="1414">
        <f>H158</f>
        <v>37.94</v>
      </c>
      <c r="E160" s="1413" t="s">
        <v>6</v>
      </c>
      <c r="F160" s="598"/>
      <c r="G160" s="598"/>
      <c r="H160" s="598"/>
      <c r="I160" s="598"/>
    </row>
    <row r="161" spans="2:16" x14ac:dyDescent="0.2">
      <c r="B161" s="425"/>
      <c r="C161" s="411"/>
      <c r="D161" s="425"/>
      <c r="E161" s="425"/>
      <c r="F161" s="425"/>
      <c r="G161" s="425"/>
      <c r="H161" s="425"/>
      <c r="I161" s="425"/>
    </row>
    <row r="162" spans="2:16" ht="15" x14ac:dyDescent="0.25">
      <c r="B162" s="363" t="str">
        <f>ORÇ!A350</f>
        <v>14.3.10</v>
      </c>
      <c r="C162" s="365" t="str">
        <f>ORÇ!D350</f>
        <v>Grade em ferro p/ canaleta l = 0,40m com articulação</v>
      </c>
      <c r="D162" s="364"/>
      <c r="E162" s="364"/>
      <c r="F162" s="364"/>
      <c r="G162" s="364"/>
      <c r="H162" s="364"/>
      <c r="I162" s="364"/>
      <c r="J162" s="364"/>
      <c r="K162" s="364"/>
      <c r="L162" s="364"/>
    </row>
    <row r="163" spans="2:16" x14ac:dyDescent="0.2">
      <c r="B163" s="425"/>
      <c r="C163" s="411"/>
      <c r="D163" s="425"/>
      <c r="E163" s="425"/>
      <c r="F163" s="425"/>
      <c r="G163" s="425"/>
      <c r="H163" s="425"/>
      <c r="I163" s="425"/>
    </row>
    <row r="164" spans="2:16" x14ac:dyDescent="0.2">
      <c r="B164" s="425"/>
      <c r="C164" s="380" t="s">
        <v>248</v>
      </c>
      <c r="D164" s="381">
        <f>$D$139</f>
        <v>47.43</v>
      </c>
      <c r="E164" s="382" t="s">
        <v>17</v>
      </c>
      <c r="F164" s="425"/>
      <c r="G164" s="425"/>
      <c r="H164" s="425"/>
      <c r="I164" s="425"/>
    </row>
    <row r="165" spans="2:16" x14ac:dyDescent="0.2">
      <c r="B165" s="425"/>
      <c r="C165" s="411"/>
      <c r="D165" s="425"/>
      <c r="E165" s="425"/>
      <c r="F165" s="425"/>
      <c r="G165" s="425"/>
      <c r="H165" s="425"/>
      <c r="I165" s="425"/>
    </row>
    <row r="166" spans="2:16" s="1409" customFormat="1" ht="15" x14ac:dyDescent="0.2">
      <c r="B166" s="1410" t="str">
        <f>ORÇ!A351</f>
        <v>14.4</v>
      </c>
      <c r="C166" s="371" t="str">
        <f>ORÇ!D351</f>
        <v>Esgoto Sanitário</v>
      </c>
      <c r="D166" s="1421"/>
      <c r="E166" s="1421"/>
      <c r="F166" s="1421"/>
      <c r="G166" s="1421"/>
      <c r="H166" s="1421"/>
      <c r="I166" s="1421"/>
      <c r="J166" s="1421"/>
      <c r="K166" s="1421"/>
      <c r="L166" s="1421"/>
    </row>
    <row r="167" spans="2:16" s="1409" customFormat="1" ht="15" x14ac:dyDescent="0.2">
      <c r="B167" s="1410" t="str">
        <f>ORÇ!A352</f>
        <v>14.4.1</v>
      </c>
      <c r="C167" s="1998" t="str">
        <f>ORÇ!D352</f>
        <v>TUBO PVC, SERIE NORMAL, ESGOTO PREDIAL, DN 40 MM, FORNECIDO E INSTALADO EM RAMAL DE DESCARGA OU RAMAL DE ESGOTO SANITÁRIO. AF_12/2014</v>
      </c>
      <c r="D167" s="1998"/>
      <c r="E167" s="1998"/>
      <c r="F167" s="1998"/>
      <c r="G167" s="1998"/>
      <c r="H167" s="1998"/>
      <c r="I167" s="1998"/>
      <c r="J167" s="1998"/>
      <c r="K167" s="1998"/>
      <c r="L167" s="1998"/>
      <c r="M167" s="1998"/>
      <c r="N167" s="1998"/>
      <c r="O167" s="1998"/>
      <c r="P167" s="1998"/>
    </row>
    <row r="168" spans="2:16" s="1409" customFormat="1" ht="14.25" x14ac:dyDescent="0.2">
      <c r="C168" s="1416"/>
      <c r="D168" s="1420"/>
      <c r="E168" s="1416"/>
    </row>
    <row r="169" spans="2:16" s="1409" customFormat="1" ht="14.25" x14ac:dyDescent="0.2">
      <c r="B169" s="1417"/>
      <c r="C169" s="1415" t="s">
        <v>248</v>
      </c>
      <c r="D169" s="1414">
        <v>90</v>
      </c>
      <c r="E169" s="1413" t="s">
        <v>17</v>
      </c>
      <c r="F169" s="1412"/>
      <c r="G169" s="1412"/>
      <c r="H169" s="1412"/>
      <c r="I169" s="1412"/>
      <c r="J169" s="1412"/>
      <c r="K169" s="1412"/>
      <c r="L169" s="1411"/>
      <c r="M169" s="1411"/>
      <c r="N169" s="1411"/>
    </row>
    <row r="170" spans="2:16" s="1409" customFormat="1" ht="14.25" x14ac:dyDescent="0.2">
      <c r="B170" s="1417"/>
      <c r="C170" s="1412"/>
      <c r="D170" s="1412"/>
      <c r="E170" s="1412"/>
      <c r="F170" s="1412"/>
      <c r="G170" s="1412"/>
      <c r="H170" s="1412"/>
      <c r="I170" s="1412"/>
      <c r="J170" s="1412"/>
      <c r="K170" s="1412"/>
      <c r="L170" s="1411"/>
      <c r="M170" s="1411"/>
      <c r="N170" s="1411"/>
    </row>
    <row r="171" spans="2:16" s="1409" customFormat="1" ht="15" x14ac:dyDescent="0.2">
      <c r="B171" s="1410" t="str">
        <f>ORÇ!A353</f>
        <v>14.4.2</v>
      </c>
      <c r="C171" s="1998" t="str">
        <f>ORÇ!D353</f>
        <v>TUBO PVC, SERIE NORMAL, ESGOTO PREDIAL, DN 50 MM, FORNECIDO E INSTALADO EM PRUMADA DE ESGOTO SANITÁRIO OU VENTILAÇÃO. AF_12/2014</v>
      </c>
      <c r="D171" s="1998"/>
      <c r="E171" s="1998"/>
      <c r="F171" s="1998"/>
      <c r="G171" s="1998"/>
      <c r="H171" s="1998"/>
      <c r="I171" s="1998"/>
      <c r="J171" s="1998"/>
      <c r="K171" s="1998"/>
      <c r="L171" s="1998"/>
      <c r="M171" s="1998"/>
      <c r="N171" s="1998"/>
      <c r="O171" s="1998"/>
      <c r="P171" s="1998"/>
    </row>
    <row r="172" spans="2:16" s="1409" customFormat="1" ht="15" x14ac:dyDescent="0.2">
      <c r="B172" s="1410"/>
      <c r="C172" s="1419"/>
      <c r="D172" s="1419"/>
      <c r="E172" s="1419"/>
      <c r="F172" s="1419"/>
      <c r="G172" s="1419"/>
      <c r="H172" s="1419"/>
      <c r="I172" s="1419"/>
      <c r="J172" s="1419"/>
      <c r="K172" s="1419"/>
      <c r="L172" s="1419"/>
      <c r="M172" s="1419"/>
      <c r="N172" s="1419"/>
    </row>
    <row r="173" spans="2:16" s="1409" customFormat="1" ht="14.25" x14ac:dyDescent="0.2">
      <c r="B173" s="1417"/>
      <c r="C173" s="1415" t="s">
        <v>248</v>
      </c>
      <c r="D173" s="1414">
        <v>42</v>
      </c>
      <c r="E173" s="1413" t="s">
        <v>17</v>
      </c>
      <c r="F173" s="1412"/>
      <c r="G173" s="1412"/>
      <c r="H173" s="1412"/>
      <c r="I173" s="1412"/>
      <c r="J173" s="1412"/>
      <c r="K173" s="1412"/>
      <c r="L173" s="1411"/>
      <c r="M173" s="1411"/>
      <c r="N173" s="1411"/>
    </row>
    <row r="174" spans="2:16" s="1409" customFormat="1" x14ac:dyDescent="0.2"/>
    <row r="175" spans="2:16" s="1409" customFormat="1" ht="15" x14ac:dyDescent="0.2">
      <c r="B175" s="1410" t="str">
        <f>ORÇ!A354</f>
        <v>14.4.3</v>
      </c>
      <c r="C175" s="1998" t="str">
        <f>ORÇ!D354</f>
        <v>TUBO PVC, SERIE NORMAL, ESGOTO PREDIAL, DN 75 MM, FORNECIDO E INSTALADO EM PRUMADA DE ESGOTO SANITÁRIO OU VENTILAÇÃO. AF_12/2014</v>
      </c>
      <c r="D175" s="1998"/>
      <c r="E175" s="1998"/>
      <c r="F175" s="1998"/>
      <c r="G175" s="1998"/>
      <c r="H175" s="1998"/>
      <c r="I175" s="1998"/>
      <c r="J175" s="1998"/>
      <c r="K175" s="1998"/>
      <c r="L175" s="1998"/>
      <c r="M175" s="1998"/>
      <c r="N175" s="1998"/>
      <c r="O175" s="1998"/>
      <c r="P175" s="1998"/>
    </row>
    <row r="176" spans="2:16" s="1409" customFormat="1" x14ac:dyDescent="0.2"/>
    <row r="177" spans="2:17" s="1409" customFormat="1" ht="14.25" x14ac:dyDescent="0.2">
      <c r="B177" s="1417"/>
      <c r="C177" s="1415" t="s">
        <v>248</v>
      </c>
      <c r="D177" s="1414">
        <v>72</v>
      </c>
      <c r="E177" s="1413" t="s">
        <v>17</v>
      </c>
      <c r="F177" s="1412"/>
      <c r="G177" s="1412"/>
      <c r="H177" s="1412"/>
      <c r="I177" s="1412"/>
      <c r="J177" s="1412"/>
      <c r="K177" s="1412"/>
      <c r="L177" s="1411"/>
      <c r="M177" s="1411"/>
      <c r="N177" s="1411"/>
    </row>
    <row r="178" spans="2:17" s="1409" customFormat="1" x14ac:dyDescent="0.2"/>
    <row r="179" spans="2:17" s="1409" customFormat="1" ht="15" x14ac:dyDescent="0.2">
      <c r="B179" s="1410" t="str">
        <f>ORÇ!A355</f>
        <v>14.4.4</v>
      </c>
      <c r="C179" s="1998" t="str">
        <f>ORÇ!D355</f>
        <v>TUBO PVC, SERIE NORMAL, ESGOTO PREDIAL, DN 100 MM, FORNECIDO E INSTALADO EM PRUMADA DE ESGOTO SANITÁRIO OU VENTILAÇÃO. AF_12/2014</v>
      </c>
      <c r="D179" s="1998"/>
      <c r="E179" s="1998"/>
      <c r="F179" s="1998"/>
      <c r="G179" s="1998"/>
      <c r="H179" s="1998"/>
      <c r="I179" s="1998"/>
      <c r="J179" s="1998"/>
      <c r="K179" s="1998"/>
      <c r="L179" s="1998"/>
      <c r="M179" s="1998"/>
      <c r="N179" s="1998"/>
      <c r="O179" s="1998"/>
      <c r="P179" s="1998"/>
      <c r="Q179" s="1998"/>
    </row>
    <row r="180" spans="2:17" s="1409" customFormat="1" x14ac:dyDescent="0.2"/>
    <row r="181" spans="2:17" s="1409" customFormat="1" ht="14.25" x14ac:dyDescent="0.2">
      <c r="B181" s="1417"/>
      <c r="C181" s="1415" t="s">
        <v>248</v>
      </c>
      <c r="D181" s="1414">
        <v>90</v>
      </c>
      <c r="E181" s="1413" t="s">
        <v>17</v>
      </c>
      <c r="F181" s="1412"/>
      <c r="G181" s="1412"/>
      <c r="H181" s="1412"/>
      <c r="I181" s="1412"/>
      <c r="J181" s="1412"/>
      <c r="K181" s="1412"/>
      <c r="L181" s="1411"/>
      <c r="M181" s="1411"/>
      <c r="N181" s="1411"/>
    </row>
    <row r="182" spans="2:17" s="1409" customFormat="1" x14ac:dyDescent="0.2"/>
    <row r="183" spans="2:17" x14ac:dyDescent="0.2">
      <c r="B183" s="412" t="str">
        <f>ORÇ!A356</f>
        <v>14.4.5</v>
      </c>
      <c r="C183" s="1998" t="str">
        <f>ORÇ!D356</f>
        <v>CURVA CURTA 90 GRAUS, PVC, SERIE NORMAL, ESGOTO PREDIAL, DN 40 MM, JUNTA SOLDÁVEL, FORNECIDO E INSTALADO EM RAMAL DE DESCARGA OU RAMAL DE ESGOTO SANITÁRIO. AF_12/2014</v>
      </c>
      <c r="D183" s="1998"/>
      <c r="E183" s="1998"/>
      <c r="F183" s="1998"/>
      <c r="G183" s="1998"/>
      <c r="H183" s="1998"/>
      <c r="I183" s="1998"/>
      <c r="J183" s="1998"/>
      <c r="K183" s="1998"/>
      <c r="L183" s="1998"/>
      <c r="M183" s="1998"/>
      <c r="N183" s="1998"/>
      <c r="O183" s="1998"/>
      <c r="P183" s="1998"/>
      <c r="Q183" s="1998"/>
    </row>
    <row r="184" spans="2:17" s="1409" customFormat="1" x14ac:dyDescent="0.2"/>
    <row r="185" spans="2:17" s="1409" customFormat="1" ht="14.25" x14ac:dyDescent="0.2">
      <c r="B185" s="1417"/>
      <c r="C185" s="1415" t="s">
        <v>248</v>
      </c>
      <c r="D185" s="1414">
        <v>19</v>
      </c>
      <c r="E185" s="1413" t="s">
        <v>1429</v>
      </c>
      <c r="F185" s="1412"/>
      <c r="G185" s="1412"/>
      <c r="H185" s="1412"/>
      <c r="I185" s="1412"/>
      <c r="J185" s="1412"/>
      <c r="K185" s="1412"/>
      <c r="L185" s="1411"/>
      <c r="M185" s="1411"/>
      <c r="N185" s="1411"/>
    </row>
    <row r="186" spans="2:17" s="1409" customFormat="1" x14ac:dyDescent="0.2"/>
    <row r="187" spans="2:17" x14ac:dyDescent="0.2">
      <c r="B187" s="412" t="str">
        <f>ORÇ!A357</f>
        <v>14.4.6</v>
      </c>
      <c r="C187" s="2008" t="str">
        <f>ORÇ!D357</f>
        <v>CURVA 90 GRAUS, PVC, SOLDÁVEL, DN 50MM, INSTALADO EM PRUMADA DE ÁGUA - FORNECIMENTO E INSTALAÇÃO. AF_12/2014</v>
      </c>
      <c r="D187" s="2008"/>
      <c r="E187" s="2008"/>
      <c r="F187" s="2008"/>
      <c r="G187" s="2008"/>
      <c r="H187" s="2008"/>
      <c r="I187" s="2008"/>
      <c r="J187" s="2008"/>
      <c r="K187" s="2008"/>
      <c r="L187" s="2008"/>
      <c r="M187" s="2008"/>
      <c r="N187" s="2008"/>
    </row>
    <row r="188" spans="2:17" s="1409" customFormat="1" x14ac:dyDescent="0.2">
      <c r="C188" s="2008"/>
      <c r="D188" s="2008"/>
      <c r="E188" s="2008"/>
      <c r="F188" s="2008"/>
      <c r="G188" s="2008"/>
      <c r="H188" s="2008"/>
      <c r="I188" s="2008"/>
      <c r="J188" s="2008"/>
      <c r="K188" s="2008"/>
      <c r="L188" s="2008"/>
      <c r="M188" s="2008"/>
      <c r="N188" s="2008"/>
    </row>
    <row r="189" spans="2:17" s="1409" customFormat="1" ht="14.25" x14ac:dyDescent="0.2">
      <c r="B189" s="1417"/>
      <c r="C189" s="1415" t="s">
        <v>248</v>
      </c>
      <c r="D189" s="1414">
        <v>19</v>
      </c>
      <c r="E189" s="1413" t="s">
        <v>1429</v>
      </c>
      <c r="F189" s="1412"/>
      <c r="G189" s="1412"/>
      <c r="H189" s="1412"/>
      <c r="I189" s="1412"/>
      <c r="J189" s="1412"/>
      <c r="K189" s="1412"/>
      <c r="L189" s="1411"/>
      <c r="M189" s="1411"/>
      <c r="N189" s="1411"/>
    </row>
    <row r="190" spans="2:17" s="1409" customFormat="1" x14ac:dyDescent="0.2"/>
    <row r="191" spans="2:17" x14ac:dyDescent="0.2">
      <c r="B191" s="412" t="str">
        <f>ORÇ!A358</f>
        <v>14.4.7</v>
      </c>
      <c r="C191" s="2008" t="str">
        <f>ORÇ!D358</f>
        <v>CURVA 90 GRAUS, PVC, SOLDÁVEL, DN 75MM, INSTALADO EM PRUMADA DE ÁGUA - FORNECIMENTO E INSTALAÇÃO. AF_12/2014</v>
      </c>
      <c r="D191" s="2008"/>
      <c r="E191" s="2008"/>
      <c r="F191" s="2008"/>
      <c r="G191" s="2008"/>
      <c r="H191" s="2008"/>
      <c r="I191" s="2008"/>
      <c r="J191" s="2008"/>
      <c r="K191" s="2008"/>
      <c r="L191" s="2008"/>
      <c r="M191" s="2008"/>
      <c r="N191" s="2008"/>
    </row>
    <row r="192" spans="2:17" s="1409" customFormat="1" x14ac:dyDescent="0.2">
      <c r="C192" s="2008"/>
      <c r="D192" s="2008"/>
      <c r="E192" s="2008"/>
      <c r="F192" s="2008"/>
      <c r="G192" s="2008"/>
      <c r="H192" s="2008"/>
      <c r="I192" s="2008"/>
      <c r="J192" s="2008"/>
      <c r="K192" s="2008"/>
      <c r="L192" s="2008"/>
      <c r="M192" s="2008"/>
      <c r="N192" s="2008"/>
    </row>
    <row r="193" spans="2:17" s="1409" customFormat="1" ht="14.25" x14ac:dyDescent="0.2">
      <c r="B193" s="1417"/>
      <c r="C193" s="1415" t="s">
        <v>248</v>
      </c>
      <c r="D193" s="1414">
        <v>1</v>
      </c>
      <c r="E193" s="1413" t="s">
        <v>1429</v>
      </c>
      <c r="F193" s="1412"/>
      <c r="G193" s="1412"/>
      <c r="H193" s="1412"/>
      <c r="I193" s="1412"/>
      <c r="J193" s="1412"/>
      <c r="K193" s="1412"/>
      <c r="L193" s="1411"/>
      <c r="M193" s="1411"/>
      <c r="N193" s="1411"/>
    </row>
    <row r="194" spans="2:17" s="1409" customFormat="1" x14ac:dyDescent="0.2"/>
    <row r="195" spans="2:17" ht="15" x14ac:dyDescent="0.25">
      <c r="B195" s="363" t="str">
        <f>ORÇ!A359</f>
        <v>14.4.8</v>
      </c>
      <c r="C195" s="2008" t="str">
        <f>ORÇ!D359</f>
        <v>CURVA CURTA 90 GRAUS, PVC, SERIE NORMAL, ESGOTO PREDIAL, DN 100 MM, JUNTA ELÁSTICA, FORNECIDO E INSTALADO EM RAMAL DE DESCARGA OU RAMAL DE ESGOTO SANITÁRIO. AF_12/2014</v>
      </c>
      <c r="D195" s="2008"/>
      <c r="E195" s="2008"/>
      <c r="F195" s="2008"/>
      <c r="G195" s="2008"/>
      <c r="H195" s="2008"/>
      <c r="I195" s="2008"/>
      <c r="J195" s="2008"/>
      <c r="K195" s="2008"/>
      <c r="L195" s="2008"/>
      <c r="M195" s="2008"/>
      <c r="N195" s="2008"/>
    </row>
    <row r="196" spans="2:17" ht="15" x14ac:dyDescent="0.25">
      <c r="B196" s="363"/>
      <c r="C196" s="2008"/>
      <c r="D196" s="2008"/>
      <c r="E196" s="2008"/>
      <c r="F196" s="2008"/>
      <c r="G196" s="2008"/>
      <c r="H196" s="2008"/>
      <c r="I196" s="2008"/>
      <c r="J196" s="2008"/>
      <c r="K196" s="2008"/>
      <c r="L196" s="2008"/>
      <c r="M196" s="2008"/>
      <c r="N196" s="2008"/>
    </row>
    <row r="197" spans="2:17" s="1409" customFormat="1" x14ac:dyDescent="0.2">
      <c r="C197" s="1358"/>
      <c r="D197" s="1358"/>
      <c r="E197" s="1358"/>
      <c r="F197" s="1358"/>
      <c r="G197" s="1358"/>
      <c r="H197" s="1358"/>
      <c r="I197" s="1358"/>
      <c r="J197" s="1358"/>
      <c r="K197" s="1358"/>
      <c r="L197" s="1358"/>
      <c r="M197" s="1358"/>
      <c r="N197" s="1358"/>
    </row>
    <row r="198" spans="2:17" s="1409" customFormat="1" ht="14.25" x14ac:dyDescent="0.2">
      <c r="B198" s="1417"/>
      <c r="C198" s="1415" t="s">
        <v>248</v>
      </c>
      <c r="D198" s="1414">
        <v>16</v>
      </c>
      <c r="E198" s="1413" t="s">
        <v>1429</v>
      </c>
      <c r="F198" s="1412"/>
      <c r="G198" s="1412"/>
      <c r="H198" s="1412"/>
      <c r="I198" s="1412"/>
      <c r="J198" s="1412"/>
      <c r="K198" s="1412"/>
      <c r="L198" s="1411"/>
      <c r="M198" s="1411"/>
      <c r="N198" s="1411"/>
    </row>
    <row r="199" spans="2:17" s="1409" customFormat="1" x14ac:dyDescent="0.2"/>
    <row r="200" spans="2:17" ht="15" x14ac:dyDescent="0.25">
      <c r="B200" s="363" t="str">
        <f>ORÇ!A360</f>
        <v>14.4.9</v>
      </c>
      <c r="C200" s="2008" t="str">
        <f>ORÇ!D360</f>
        <v>JOELHO 90 GRAUS, PVC, SERIE NORMAL, ESGOTO PREDIAL, DN 40 MM, JUNTA SOLDÁVEL, FORNECIDO E INSTALADO EM RAMAL DE DESCARGA OU RAMAL DE ESGOTO SANITÁRIO. AF_12/2014</v>
      </c>
      <c r="D200" s="2008"/>
      <c r="E200" s="2008"/>
      <c r="F200" s="2008"/>
      <c r="G200" s="2008"/>
      <c r="H200" s="2008"/>
      <c r="I200" s="2008"/>
      <c r="J200" s="2008"/>
      <c r="K200" s="2008"/>
      <c r="L200" s="2008"/>
      <c r="M200" s="2008"/>
      <c r="N200" s="2008"/>
      <c r="O200" s="2008"/>
      <c r="P200" s="2008"/>
      <c r="Q200" s="2008"/>
    </row>
    <row r="201" spans="2:17" ht="15" x14ac:dyDescent="0.25">
      <c r="B201" s="363"/>
      <c r="C201" s="1418"/>
      <c r="D201" s="1418"/>
      <c r="E201" s="1418"/>
      <c r="F201" s="1418"/>
      <c r="G201" s="1418"/>
      <c r="H201" s="1418"/>
      <c r="I201" s="1418"/>
      <c r="J201" s="1418"/>
      <c r="K201" s="1418"/>
      <c r="L201" s="1418"/>
      <c r="M201" s="1418"/>
      <c r="N201" s="1418"/>
    </row>
    <row r="202" spans="2:17" s="1409" customFormat="1" ht="14.25" x14ac:dyDescent="0.2">
      <c r="B202" s="1417"/>
      <c r="C202" s="1415" t="s">
        <v>248</v>
      </c>
      <c r="D202" s="1414">
        <v>19</v>
      </c>
      <c r="E202" s="1413" t="s">
        <v>1429</v>
      </c>
      <c r="F202" s="1412"/>
      <c r="G202" s="1412"/>
      <c r="H202" s="1412"/>
      <c r="I202" s="1412"/>
      <c r="J202" s="1412"/>
      <c r="K202" s="1412"/>
      <c r="L202" s="1411"/>
      <c r="M202" s="1411"/>
      <c r="N202" s="1411"/>
    </row>
    <row r="203" spans="2:17" s="1409" customFormat="1" x14ac:dyDescent="0.2"/>
    <row r="204" spans="2:17" ht="15" x14ac:dyDescent="0.25">
      <c r="B204" s="363" t="str">
        <f>ORÇ!A361</f>
        <v>14.4.10</v>
      </c>
      <c r="C204" s="2008" t="str">
        <f>ORÇ!D361</f>
        <v>JOELHO 90 GRAUS, PVC, SERIE NORMAL, ESGOTO PREDIAL, DN 50 MM, JUNTA ELÁSTICA, FORNECIDO E INSTALADO EM PRUMADA DE ESGOTO SANITÁRIO OU VENTILAÇÃO. AF_12/2014</v>
      </c>
      <c r="D204" s="2008"/>
      <c r="E204" s="2008"/>
      <c r="F204" s="2008"/>
      <c r="G204" s="2008"/>
      <c r="H204" s="2008"/>
      <c r="I204" s="2008"/>
      <c r="J204" s="2008"/>
      <c r="K204" s="2008"/>
      <c r="L204" s="2008"/>
      <c r="M204" s="2008"/>
      <c r="N204" s="2008"/>
      <c r="O204" s="2008"/>
      <c r="P204" s="2008"/>
      <c r="Q204" s="2008"/>
    </row>
    <row r="205" spans="2:17" s="1409" customFormat="1" x14ac:dyDescent="0.2">
      <c r="C205" s="1418"/>
      <c r="D205" s="1418"/>
      <c r="E205" s="1418"/>
      <c r="F205" s="1418"/>
      <c r="G205" s="1418"/>
      <c r="H205" s="1418"/>
      <c r="I205" s="1418"/>
      <c r="J205" s="1418"/>
      <c r="K205" s="1418"/>
      <c r="L205" s="1418"/>
      <c r="M205" s="1418"/>
      <c r="N205" s="1418"/>
    </row>
    <row r="206" spans="2:17" s="1409" customFormat="1" ht="14.25" x14ac:dyDescent="0.2">
      <c r="B206" s="1417"/>
      <c r="C206" s="1415" t="s">
        <v>248</v>
      </c>
      <c r="D206" s="1414">
        <v>19</v>
      </c>
      <c r="E206" s="1413" t="s">
        <v>1429</v>
      </c>
      <c r="F206" s="1412"/>
      <c r="G206" s="1412"/>
      <c r="H206" s="1412"/>
      <c r="I206" s="1412"/>
      <c r="J206" s="1412"/>
      <c r="K206" s="1412"/>
      <c r="L206" s="1411"/>
      <c r="M206" s="1411"/>
      <c r="N206" s="1411"/>
    </row>
    <row r="207" spans="2:17" s="1409" customFormat="1" x14ac:dyDescent="0.2"/>
    <row r="208" spans="2:17" ht="15" x14ac:dyDescent="0.25">
      <c r="B208" s="363" t="str">
        <f>ORÇ!A362</f>
        <v>14.4.11</v>
      </c>
      <c r="C208" s="2008" t="str">
        <f>ORÇ!D362</f>
        <v>JOELHO 45 GRAUS, PVC, SERIE NORMAL, ESGOTO PREDIAL, DN 40 MM, JUNTA SOLDÁVEL, FORNECIDO E INSTALADO EM RAMAL DE DESCARGA OU RAMAL DE ESGOTO SANITÁRIO. AF_12/2014</v>
      </c>
      <c r="D208" s="2008"/>
      <c r="E208" s="2008"/>
      <c r="F208" s="2008"/>
      <c r="G208" s="2008"/>
      <c r="H208" s="2008"/>
      <c r="I208" s="2008"/>
      <c r="J208" s="2008"/>
      <c r="K208" s="2008"/>
      <c r="L208" s="2008"/>
      <c r="M208" s="2008"/>
      <c r="N208" s="2008"/>
      <c r="O208" s="2008"/>
      <c r="P208" s="2008"/>
      <c r="Q208" s="2008"/>
    </row>
    <row r="209" spans="2:17" s="1409" customFormat="1" x14ac:dyDescent="0.2">
      <c r="C209" s="1418"/>
      <c r="D209" s="1418"/>
      <c r="E209" s="1418"/>
      <c r="F209" s="1418"/>
      <c r="G209" s="1418"/>
      <c r="H209" s="1418"/>
      <c r="I209" s="1418"/>
      <c r="J209" s="1418"/>
      <c r="K209" s="1418"/>
      <c r="L209" s="1418"/>
      <c r="M209" s="1418"/>
      <c r="N209" s="1418"/>
    </row>
    <row r="210" spans="2:17" s="1409" customFormat="1" ht="14.25" x14ac:dyDescent="0.2">
      <c r="B210" s="1417"/>
      <c r="C210" s="1415" t="s">
        <v>248</v>
      </c>
      <c r="D210" s="1414">
        <v>29</v>
      </c>
      <c r="E210" s="1413" t="s">
        <v>1429</v>
      </c>
      <c r="F210" s="1412"/>
      <c r="G210" s="1412"/>
      <c r="H210" s="1412"/>
      <c r="I210" s="1412"/>
      <c r="J210" s="1412"/>
      <c r="K210" s="1412"/>
      <c r="L210" s="1411"/>
      <c r="M210" s="1411"/>
      <c r="N210" s="1411"/>
    </row>
    <row r="211" spans="2:17" s="1409" customFormat="1" x14ac:dyDescent="0.2"/>
    <row r="212" spans="2:17" ht="15" customHeight="1" x14ac:dyDescent="0.25">
      <c r="B212" s="363" t="str">
        <f>ORÇ!A363</f>
        <v>14.4.12</v>
      </c>
      <c r="C212" s="2008" t="str">
        <f>ORÇ!D363</f>
        <v>JOELHO 45 GRAUS, PVC, SERIE NORMAL, ESGOTO PREDIAL, DN 50 MM, JUNTA ELÁSTICA, FORNECIDO E INSTALADO EM PRUMADA DE ESGOTO SANITÁRIO OU VENTILAÇÃO. AF_12/2014</v>
      </c>
      <c r="D212" s="2008"/>
      <c r="E212" s="2008"/>
      <c r="F212" s="2008"/>
      <c r="G212" s="2008"/>
      <c r="H212" s="2008"/>
      <c r="I212" s="2008"/>
      <c r="J212" s="2008"/>
      <c r="K212" s="2008"/>
      <c r="L212" s="2008"/>
      <c r="M212" s="2008"/>
      <c r="N212" s="2008"/>
    </row>
    <row r="213" spans="2:17" s="1409" customFormat="1" x14ac:dyDescent="0.2">
      <c r="C213" s="1418"/>
      <c r="D213" s="1418"/>
      <c r="E213" s="1418"/>
      <c r="F213" s="1418"/>
      <c r="G213" s="1418"/>
      <c r="H213" s="1418"/>
      <c r="I213" s="1418"/>
      <c r="J213" s="1418"/>
      <c r="K213" s="1418"/>
      <c r="L213" s="1418"/>
      <c r="M213" s="1418"/>
      <c r="N213" s="1418"/>
    </row>
    <row r="214" spans="2:17" s="1409" customFormat="1" ht="14.25" x14ac:dyDescent="0.2">
      <c r="B214" s="1417"/>
      <c r="C214" s="1415" t="s">
        <v>248</v>
      </c>
      <c r="D214" s="1414">
        <v>14</v>
      </c>
      <c r="E214" s="1413" t="s">
        <v>1429</v>
      </c>
      <c r="F214" s="1412"/>
      <c r="G214" s="1412"/>
      <c r="H214" s="1412"/>
      <c r="I214" s="1412"/>
      <c r="J214" s="1412"/>
      <c r="K214" s="1412"/>
      <c r="L214" s="1411"/>
      <c r="M214" s="1411"/>
      <c r="N214" s="1411"/>
    </row>
    <row r="215" spans="2:17" s="1409" customFormat="1" x14ac:dyDescent="0.2"/>
    <row r="216" spans="2:17" ht="15" customHeight="1" x14ac:dyDescent="0.25">
      <c r="B216" s="363" t="str">
        <f>ORÇ!A364</f>
        <v>14.4.13</v>
      </c>
      <c r="C216" s="2008" t="str">
        <f>ORÇ!D364</f>
        <v>Joelho/Cotovelo 45° PVC JS -  75mm - LS</v>
      </c>
      <c r="D216" s="2008"/>
      <c r="E216" s="2008"/>
      <c r="F216" s="2008"/>
      <c r="G216" s="2008"/>
      <c r="H216" s="2008"/>
      <c r="I216" s="2008"/>
      <c r="J216" s="2008"/>
      <c r="K216" s="2008"/>
      <c r="L216" s="2008"/>
      <c r="M216" s="2008"/>
      <c r="N216" s="2008"/>
    </row>
    <row r="217" spans="2:17" s="1409" customFormat="1" x14ac:dyDescent="0.2">
      <c r="C217" s="1418"/>
      <c r="D217" s="1418"/>
      <c r="E217" s="1418"/>
      <c r="F217" s="1418"/>
      <c r="G217" s="1418"/>
      <c r="H217" s="1418"/>
      <c r="I217" s="1418"/>
      <c r="J217" s="1418"/>
      <c r="K217" s="1418"/>
      <c r="L217" s="1418"/>
      <c r="M217" s="1418"/>
      <c r="N217" s="1418"/>
    </row>
    <row r="218" spans="2:17" s="1409" customFormat="1" ht="14.25" x14ac:dyDescent="0.2">
      <c r="B218" s="1417"/>
      <c r="C218" s="1415" t="s">
        <v>248</v>
      </c>
      <c r="D218" s="1414">
        <v>3</v>
      </c>
      <c r="E218" s="1413" t="s">
        <v>1429</v>
      </c>
      <c r="F218" s="1412"/>
      <c r="G218" s="1412"/>
      <c r="H218" s="1412"/>
      <c r="I218" s="1412"/>
      <c r="J218" s="1412"/>
      <c r="K218" s="1412"/>
      <c r="L218" s="1411"/>
      <c r="M218" s="1411"/>
      <c r="N218" s="1411"/>
    </row>
    <row r="219" spans="2:17" s="1409" customFormat="1" x14ac:dyDescent="0.2"/>
    <row r="220" spans="2:17" ht="15" customHeight="1" x14ac:dyDescent="0.25">
      <c r="B220" s="363" t="str">
        <f>ORÇ!A365</f>
        <v>14.4.14</v>
      </c>
      <c r="C220" s="2008" t="str">
        <f>ORÇ!D365</f>
        <v>Joelho/Cotovelo 45° PVC JS - 100mm - LS</v>
      </c>
      <c r="D220" s="2008"/>
      <c r="E220" s="2008"/>
      <c r="F220" s="2008"/>
      <c r="G220" s="2008"/>
      <c r="H220" s="2008"/>
      <c r="I220" s="2008"/>
      <c r="J220" s="2008"/>
      <c r="K220" s="2008"/>
      <c r="L220" s="2008"/>
      <c r="M220" s="2008"/>
      <c r="N220" s="2008"/>
    </row>
    <row r="221" spans="2:17" s="1409" customFormat="1" x14ac:dyDescent="0.2">
      <c r="C221" s="1418"/>
      <c r="D221" s="1418"/>
      <c r="E221" s="1418"/>
      <c r="F221" s="1418"/>
      <c r="G221" s="1418"/>
      <c r="H221" s="1418"/>
      <c r="I221" s="1418"/>
      <c r="J221" s="1418"/>
      <c r="K221" s="1418"/>
      <c r="L221" s="1418"/>
      <c r="M221" s="1418"/>
      <c r="N221" s="1418"/>
    </row>
    <row r="222" spans="2:17" s="1409" customFormat="1" ht="14.25" x14ac:dyDescent="0.2">
      <c r="B222" s="1417"/>
      <c r="C222" s="1415" t="s">
        <v>248</v>
      </c>
      <c r="D222" s="1414">
        <v>7</v>
      </c>
      <c r="E222" s="1413" t="s">
        <v>1429</v>
      </c>
      <c r="F222" s="1412"/>
      <c r="G222" s="1412"/>
      <c r="H222" s="1412"/>
      <c r="I222" s="1412"/>
      <c r="J222" s="1412"/>
      <c r="K222" s="1412"/>
      <c r="L222" s="1411"/>
      <c r="M222" s="1411"/>
      <c r="N222" s="1411"/>
    </row>
    <row r="223" spans="2:17" s="1409" customFormat="1" x14ac:dyDescent="0.2"/>
    <row r="224" spans="2:17" ht="15" x14ac:dyDescent="0.25">
      <c r="B224" s="363" t="str">
        <f>ORÇ!A366</f>
        <v>14.4.15</v>
      </c>
      <c r="C224" s="1998" t="str">
        <f>ORÇ!D366</f>
        <v>JUNÇÃO SIMPLES, PVC, SERIE NORMAL, ESGOTO PREDIAL, DN 40 MM, JUNTA SOLDÁVEL, FORNECIDO E INSTALADO EM RAMAL DE DESCARGA OU RAMAL DE ESGOTO SANITÁRIO. AF_12/2014</v>
      </c>
      <c r="D224" s="1998"/>
      <c r="E224" s="1998"/>
      <c r="F224" s="1998"/>
      <c r="G224" s="1998"/>
      <c r="H224" s="1998"/>
      <c r="I224" s="1998"/>
      <c r="J224" s="1998"/>
      <c r="K224" s="1998"/>
      <c r="L224" s="1998"/>
      <c r="M224" s="1998"/>
      <c r="N224" s="1998"/>
      <c r="O224" s="1998"/>
      <c r="P224" s="1998"/>
      <c r="Q224" s="1998"/>
    </row>
    <row r="225" spans="2:17" ht="15" x14ac:dyDescent="0.25">
      <c r="B225" s="363"/>
      <c r="C225" s="1418"/>
      <c r="D225" s="1418"/>
      <c r="E225" s="1418"/>
      <c r="F225" s="1418"/>
      <c r="G225" s="1418"/>
      <c r="H225" s="1418"/>
      <c r="I225" s="1418"/>
      <c r="J225" s="1418"/>
      <c r="K225" s="1418"/>
      <c r="L225" s="1418"/>
      <c r="M225" s="1418"/>
      <c r="N225" s="1418"/>
    </row>
    <row r="226" spans="2:17" s="1409" customFormat="1" ht="14.25" x14ac:dyDescent="0.2">
      <c r="B226" s="1417"/>
      <c r="C226" s="1415" t="s">
        <v>248</v>
      </c>
      <c r="D226" s="1414">
        <v>13</v>
      </c>
      <c r="E226" s="1413" t="s">
        <v>1429</v>
      </c>
      <c r="F226" s="1412"/>
      <c r="G226" s="1412"/>
      <c r="H226" s="1412"/>
      <c r="I226" s="1412"/>
      <c r="J226" s="1412"/>
      <c r="K226" s="1412"/>
      <c r="L226" s="1411"/>
      <c r="M226" s="1411"/>
      <c r="N226" s="1411"/>
    </row>
    <row r="227" spans="2:17" s="1409" customFormat="1" x14ac:dyDescent="0.2"/>
    <row r="228" spans="2:17" ht="15" x14ac:dyDescent="0.25">
      <c r="B228" s="363" t="str">
        <f>ORÇ!A367</f>
        <v>14.4.16</v>
      </c>
      <c r="C228" s="1998" t="str">
        <f>ORÇ!D367</f>
        <v>JUNÇÃO SIMPLES, PVC, SERIE NORMAL, ESGOTO PREDIAL, DN 50 X 50 MM, JUNTA ELÁSTICA, FORNECIDO E INSTALADO EM PRUMADA DE ESGOTO SANITÁRIO OU VENTILAÇÃO. AF_12/2014</v>
      </c>
      <c r="D228" s="1998"/>
      <c r="E228" s="1998"/>
      <c r="F228" s="1998"/>
      <c r="G228" s="1998"/>
      <c r="H228" s="1998"/>
      <c r="I228" s="1998"/>
      <c r="J228" s="1998"/>
      <c r="K228" s="1998"/>
      <c r="L228" s="1998"/>
      <c r="M228" s="1998"/>
      <c r="N228" s="1998"/>
      <c r="O228" s="1998"/>
      <c r="P228" s="1998"/>
      <c r="Q228" s="1998"/>
    </row>
    <row r="229" spans="2:17" ht="15" x14ac:dyDescent="0.25">
      <c r="B229" s="363"/>
      <c r="C229" s="1418"/>
      <c r="D229" s="1418"/>
      <c r="E229" s="1418"/>
      <c r="F229" s="1418"/>
      <c r="G229" s="1418"/>
      <c r="H229" s="1418"/>
      <c r="I229" s="1418"/>
      <c r="J229" s="1418"/>
      <c r="K229" s="1418"/>
      <c r="L229" s="1418"/>
      <c r="M229" s="1418"/>
      <c r="N229" s="1418"/>
    </row>
    <row r="230" spans="2:17" s="1409" customFormat="1" ht="14.25" x14ac:dyDescent="0.2">
      <c r="B230" s="1417"/>
      <c r="C230" s="1415" t="s">
        <v>248</v>
      </c>
      <c r="D230" s="1414">
        <v>2</v>
      </c>
      <c r="E230" s="1413" t="s">
        <v>1429</v>
      </c>
      <c r="F230" s="1412"/>
      <c r="G230" s="1412"/>
      <c r="H230" s="1412"/>
      <c r="I230" s="1412"/>
      <c r="J230" s="1412"/>
      <c r="K230" s="1412"/>
      <c r="L230" s="1411"/>
      <c r="M230" s="1411"/>
      <c r="N230" s="1411"/>
    </row>
    <row r="231" spans="2:17" s="1409" customFormat="1" x14ac:dyDescent="0.2"/>
    <row r="232" spans="2:17" ht="15" x14ac:dyDescent="0.25">
      <c r="B232" s="363" t="str">
        <f>ORÇ!A368</f>
        <v>14.4.17</v>
      </c>
      <c r="C232" s="2008" t="str">
        <f>ORÇ!D368</f>
        <v>JUNÇÃO SIMPLES, PVC, SERIE NORMAL, ESGOTO PREDIAL, DN 75 X 75 MM, JUNTA ELÁSTICA, FORNECIDO E INSTALADO EM PRUMADA DE ESGOTO SANITÁRIO OU VENTILAÇÃO. AF_12/2014</v>
      </c>
      <c r="D232" s="2008"/>
      <c r="E232" s="2008"/>
      <c r="F232" s="2008"/>
      <c r="G232" s="2008"/>
      <c r="H232" s="2008"/>
      <c r="I232" s="2008"/>
      <c r="J232" s="2008"/>
      <c r="K232" s="2008"/>
      <c r="L232" s="2008"/>
      <c r="M232" s="2008"/>
      <c r="N232" s="2008"/>
      <c r="O232" s="2008"/>
      <c r="P232" s="2008"/>
      <c r="Q232" s="2008"/>
    </row>
    <row r="233" spans="2:17" ht="15" x14ac:dyDescent="0.25">
      <c r="B233" s="363"/>
      <c r="C233" s="1418"/>
      <c r="D233" s="1418"/>
      <c r="E233" s="1418"/>
      <c r="F233" s="1418"/>
      <c r="G233" s="1418"/>
      <c r="H233" s="1418"/>
      <c r="I233" s="1418"/>
      <c r="J233" s="1418"/>
      <c r="K233" s="1418"/>
      <c r="L233" s="1418"/>
      <c r="M233" s="1418"/>
      <c r="N233" s="1418"/>
    </row>
    <row r="234" spans="2:17" s="1409" customFormat="1" ht="14.25" x14ac:dyDescent="0.2">
      <c r="B234" s="1417"/>
      <c r="C234" s="1415" t="s">
        <v>248</v>
      </c>
      <c r="D234" s="1414">
        <v>3</v>
      </c>
      <c r="E234" s="1413" t="s">
        <v>1429</v>
      </c>
      <c r="F234" s="1412"/>
      <c r="G234" s="1412"/>
      <c r="H234" s="1412"/>
      <c r="I234" s="1412"/>
      <c r="J234" s="1412"/>
      <c r="K234" s="1412"/>
      <c r="L234" s="1411"/>
      <c r="M234" s="1411"/>
      <c r="N234" s="1411"/>
    </row>
    <row r="235" spans="2:17" s="1409" customFormat="1" x14ac:dyDescent="0.2"/>
    <row r="236" spans="2:17" ht="15" x14ac:dyDescent="0.25">
      <c r="B236" s="363" t="str">
        <f>ORÇ!A369</f>
        <v>14.4.18</v>
      </c>
      <c r="C236" s="1999" t="str">
        <f>ORÇ!D369</f>
        <v>JUNÇÃO SIMPLES, PVC, SERIE NORMAL, ESGOTO PREDIAL, DN 100 X 100 MM, JUNTA ELÁSTICA, FORNECIDO E INSTALADO EM PRUMADA DE ESGOTO SANITÁRIO OU VENTILAÇÃO. AF_12/2014</v>
      </c>
      <c r="D236" s="1999"/>
      <c r="E236" s="1999"/>
      <c r="F236" s="1999"/>
      <c r="G236" s="1999"/>
      <c r="H236" s="1999"/>
      <c r="I236" s="1999"/>
      <c r="J236" s="1999"/>
      <c r="K236" s="1999"/>
      <c r="L236" s="1999"/>
      <c r="M236" s="1999"/>
      <c r="N236" s="1999"/>
      <c r="O236" s="1999"/>
      <c r="P236" s="1999"/>
      <c r="Q236" s="1999"/>
    </row>
    <row r="237" spans="2:17" ht="15" x14ac:dyDescent="0.25">
      <c r="B237" s="363"/>
      <c r="C237" s="730"/>
      <c r="D237" s="730"/>
      <c r="E237" s="730"/>
      <c r="F237" s="730"/>
      <c r="G237" s="730"/>
      <c r="H237" s="730"/>
      <c r="I237" s="730"/>
      <c r="J237" s="730"/>
      <c r="K237" s="730"/>
      <c r="L237" s="730"/>
      <c r="M237" s="730"/>
      <c r="N237" s="730"/>
    </row>
    <row r="238" spans="2:17" s="1409" customFormat="1" ht="14.25" x14ac:dyDescent="0.2">
      <c r="B238" s="1416"/>
      <c r="C238" s="1415" t="s">
        <v>248</v>
      </c>
      <c r="D238" s="1414">
        <v>10</v>
      </c>
      <c r="E238" s="1413" t="s">
        <v>1429</v>
      </c>
      <c r="F238" s="1412"/>
      <c r="G238" s="1412"/>
      <c r="H238" s="1412"/>
      <c r="I238" s="1412"/>
      <c r="J238" s="1412"/>
      <c r="K238" s="1412"/>
      <c r="L238" s="1411"/>
      <c r="M238" s="1411"/>
      <c r="N238" s="1411"/>
    </row>
    <row r="239" spans="2:17" s="1409" customFormat="1" x14ac:dyDescent="0.2"/>
    <row r="240" spans="2:17" ht="15" x14ac:dyDescent="0.25">
      <c r="B240" s="363" t="str">
        <f>ORÇ!A370</f>
        <v>14.4.19</v>
      </c>
      <c r="C240" s="1999" t="str">
        <f>ORÇ!D370</f>
        <v>Te PVC  c/ redução 100mm x 50mm - LS</v>
      </c>
      <c r="D240" s="1999"/>
      <c r="E240" s="1999"/>
      <c r="F240" s="1999"/>
      <c r="G240" s="1999"/>
      <c r="H240" s="1999"/>
      <c r="I240" s="1999"/>
      <c r="J240" s="1999"/>
      <c r="K240" s="1999"/>
      <c r="L240" s="1999"/>
      <c r="M240" s="1999"/>
      <c r="N240" s="1999"/>
    </row>
    <row r="241" spans="2:14" ht="15" x14ac:dyDescent="0.25">
      <c r="B241" s="363"/>
      <c r="C241" s="1355"/>
      <c r="D241" s="1355"/>
      <c r="E241" s="1355"/>
      <c r="F241" s="1355"/>
      <c r="G241" s="1355"/>
      <c r="H241" s="1355"/>
      <c r="I241" s="1355"/>
      <c r="J241" s="1355"/>
      <c r="K241" s="1355"/>
      <c r="L241" s="1355"/>
      <c r="M241" s="1355"/>
      <c r="N241" s="1355"/>
    </row>
    <row r="242" spans="2:14" s="1409" customFormat="1" ht="14.25" x14ac:dyDescent="0.2">
      <c r="B242" s="1416"/>
      <c r="C242" s="1415" t="s">
        <v>248</v>
      </c>
      <c r="D242" s="1414">
        <v>4</v>
      </c>
      <c r="E242" s="1413" t="s">
        <v>1429</v>
      </c>
      <c r="F242" s="1412"/>
      <c r="G242" s="1412"/>
      <c r="H242" s="1412"/>
      <c r="I242" s="1412"/>
      <c r="J242" s="1412"/>
      <c r="K242" s="1412"/>
      <c r="L242" s="1411"/>
      <c r="M242" s="1411"/>
      <c r="N242" s="1411"/>
    </row>
    <row r="243" spans="2:14" s="1409" customFormat="1" x14ac:dyDescent="0.2"/>
    <row r="244" spans="2:14" ht="15" x14ac:dyDescent="0.25">
      <c r="B244" s="363" t="str">
        <f>ORÇ!A371</f>
        <v>14.4.20</v>
      </c>
      <c r="C244" s="1999" t="str">
        <f>ORÇ!D371</f>
        <v>TERMINAL DE VENTILACAO, 50 MM, SERIE NORMAL, ESGOTO PREDIAL. FORNECIMENTO E INSTALAÇÃO.</v>
      </c>
      <c r="D244" s="1999"/>
      <c r="E244" s="1999"/>
      <c r="F244" s="1999"/>
      <c r="G244" s="1999"/>
      <c r="H244" s="1999"/>
      <c r="I244" s="1999"/>
      <c r="J244" s="1999"/>
      <c r="K244" s="1999"/>
      <c r="L244" s="1999"/>
      <c r="M244" s="1999"/>
      <c r="N244" s="1999"/>
    </row>
    <row r="245" spans="2:14" ht="15" x14ac:dyDescent="0.25">
      <c r="B245" s="363"/>
      <c r="C245" s="1355"/>
      <c r="D245" s="1355"/>
      <c r="E245" s="1355"/>
      <c r="F245" s="1355"/>
      <c r="G245" s="1355"/>
      <c r="H245" s="1355"/>
      <c r="I245" s="1355"/>
      <c r="J245" s="1355"/>
      <c r="K245" s="1355"/>
      <c r="L245" s="1355"/>
      <c r="M245" s="1355"/>
      <c r="N245" s="1355"/>
    </row>
    <row r="246" spans="2:14" s="1409" customFormat="1" ht="14.25" x14ac:dyDescent="0.2">
      <c r="B246" s="1416"/>
      <c r="C246" s="1415" t="s">
        <v>248</v>
      </c>
      <c r="D246" s="1414">
        <v>6</v>
      </c>
      <c r="E246" s="1413" t="s">
        <v>1429</v>
      </c>
      <c r="F246" s="1412"/>
      <c r="G246" s="1412"/>
      <c r="H246" s="1412"/>
      <c r="I246" s="1412"/>
      <c r="J246" s="1412"/>
      <c r="K246" s="1412"/>
      <c r="L246" s="1411"/>
      <c r="M246" s="1411"/>
      <c r="N246" s="1411"/>
    </row>
    <row r="247" spans="2:14" s="1409" customFormat="1" x14ac:dyDescent="0.2"/>
    <row r="248" spans="2:14" ht="15" x14ac:dyDescent="0.25">
      <c r="B248" s="363" t="str">
        <f>ORÇ!A372</f>
        <v>14.5</v>
      </c>
      <c r="C248" s="1999" t="str">
        <f>ORÇ!D372</f>
        <v>Caixas e Acessórios</v>
      </c>
      <c r="D248" s="1999"/>
      <c r="E248" s="1999"/>
      <c r="F248" s="1999"/>
      <c r="G248" s="1999"/>
      <c r="H248" s="1999"/>
      <c r="I248" s="1999"/>
      <c r="J248" s="1999"/>
      <c r="K248" s="1999"/>
      <c r="L248" s="1999"/>
      <c r="M248" s="1999"/>
      <c r="N248" s="1999"/>
    </row>
    <row r="249" spans="2:14" ht="15" x14ac:dyDescent="0.25">
      <c r="B249" s="363" t="str">
        <f>ORÇ!A373</f>
        <v>14.5.1</v>
      </c>
      <c r="C249" s="1999" t="s">
        <v>241</v>
      </c>
      <c r="D249" s="1999"/>
      <c r="E249" s="1999"/>
      <c r="F249" s="1999"/>
      <c r="G249" s="1999"/>
      <c r="H249" s="1999"/>
      <c r="I249" s="1999"/>
      <c r="J249" s="1999"/>
      <c r="K249" s="1999"/>
      <c r="L249" s="1999"/>
      <c r="M249" s="1999"/>
      <c r="N249" s="1999"/>
    </row>
    <row r="250" spans="2:14" ht="15.75" thickBot="1" x14ac:dyDescent="0.3">
      <c r="B250" s="363"/>
      <c r="C250" s="1999"/>
      <c r="D250" s="1999"/>
      <c r="E250" s="1999"/>
      <c r="F250" s="1999"/>
      <c r="G250" s="1999"/>
      <c r="H250" s="1999"/>
      <c r="I250" s="1999"/>
      <c r="J250" s="1999"/>
      <c r="K250" s="1999"/>
      <c r="L250" s="1999"/>
      <c r="M250" s="1999"/>
      <c r="N250" s="1999"/>
    </row>
    <row r="251" spans="2:14" ht="15" x14ac:dyDescent="0.25">
      <c r="B251" s="363"/>
      <c r="C251" s="473"/>
      <c r="D251" s="2000" t="s">
        <v>86</v>
      </c>
      <c r="E251" s="2001"/>
      <c r="F251" s="1355"/>
      <c r="G251" s="1355"/>
      <c r="H251" s="1355"/>
    </row>
    <row r="252" spans="2:14" ht="15.75" thickBot="1" x14ac:dyDescent="0.3">
      <c r="B252" s="363"/>
      <c r="C252" s="474" t="s">
        <v>317</v>
      </c>
      <c r="D252" s="475">
        <v>4</v>
      </c>
      <c r="E252" s="476" t="s">
        <v>96</v>
      </c>
      <c r="F252" s="1355"/>
      <c r="G252" s="1355"/>
      <c r="H252" s="1355"/>
    </row>
    <row r="254" spans="2:14" ht="15" x14ac:dyDescent="0.25">
      <c r="B254" s="363" t="str">
        <f>ORÇ!A374</f>
        <v>14.5.2</v>
      </c>
      <c r="C254" s="1999" t="str">
        <f>ORÇ!D374</f>
        <v>CAIXA SIFONADA, PVC, DN 150 X 185 X 75 MM, FORNECIDA E INSTALADA EM RAMAIS DE ENCAMINHAMENTO DE ÁGUA PLUVIAL. AF_12/2014</v>
      </c>
      <c r="D254" s="1999"/>
      <c r="E254" s="1999"/>
      <c r="F254" s="1999"/>
      <c r="G254" s="1999"/>
      <c r="H254" s="1999"/>
      <c r="I254" s="1999"/>
      <c r="J254" s="1999"/>
      <c r="K254" s="1999"/>
      <c r="L254" s="1999"/>
      <c r="M254" s="1999"/>
      <c r="N254" s="1999"/>
    </row>
    <row r="255" spans="2:14" ht="15.75" thickBot="1" x14ac:dyDescent="0.3">
      <c r="B255" s="363"/>
      <c r="C255" s="1999"/>
      <c r="D255" s="1999"/>
      <c r="E255" s="1999"/>
      <c r="F255" s="1999"/>
      <c r="G255" s="1999"/>
      <c r="H255" s="1999"/>
      <c r="I255" s="1999"/>
      <c r="J255" s="1999"/>
      <c r="K255" s="1999"/>
      <c r="L255" s="1999"/>
      <c r="M255" s="1999"/>
      <c r="N255" s="1999"/>
    </row>
    <row r="256" spans="2:14" ht="15" x14ac:dyDescent="0.25">
      <c r="B256" s="363"/>
      <c r="C256" s="473"/>
      <c r="D256" s="2000" t="s">
        <v>86</v>
      </c>
      <c r="E256" s="2001"/>
      <c r="F256" s="1355"/>
      <c r="G256" s="1355"/>
      <c r="H256" s="1355"/>
    </row>
    <row r="257" spans="2:17" ht="15.75" thickBot="1" x14ac:dyDescent="0.3">
      <c r="B257" s="363"/>
      <c r="C257" s="474" t="s">
        <v>317</v>
      </c>
      <c r="D257" s="475">
        <v>7</v>
      </c>
      <c r="E257" s="476" t="s">
        <v>96</v>
      </c>
      <c r="F257" s="1355"/>
      <c r="G257" s="1355"/>
      <c r="H257" s="1355"/>
    </row>
    <row r="259" spans="2:17" ht="15" x14ac:dyDescent="0.25">
      <c r="B259" s="363" t="str">
        <f>ORÇ!A375</f>
        <v>14.5.3</v>
      </c>
      <c r="C259" s="1999" t="str">
        <f>ORÇ!D375</f>
        <v>CAIXA ENTERRADA HIDRÁULICA RETANGULAR, EM CONCRETO PRÉ-MOLDADO, DIMENSÕES INTERNAS: 0,6X0,6X0,5 M. AF_12/2020</v>
      </c>
      <c r="D259" s="1999"/>
      <c r="E259" s="1999"/>
      <c r="F259" s="1999"/>
      <c r="G259" s="1999"/>
      <c r="H259" s="1999"/>
      <c r="I259" s="1999"/>
      <c r="J259" s="1999"/>
      <c r="K259" s="1999"/>
      <c r="L259" s="1999"/>
      <c r="M259" s="1999"/>
      <c r="N259" s="1999"/>
    </row>
    <row r="260" spans="2:17" ht="15.75" thickBot="1" x14ac:dyDescent="0.3">
      <c r="B260" s="363"/>
      <c r="C260" s="1999"/>
      <c r="D260" s="1999"/>
      <c r="E260" s="1999"/>
      <c r="F260" s="1999"/>
      <c r="G260" s="1999"/>
      <c r="H260" s="1999"/>
      <c r="I260" s="1999"/>
      <c r="J260" s="1999"/>
      <c r="K260" s="1999"/>
      <c r="L260" s="1999"/>
      <c r="M260" s="1999"/>
      <c r="N260" s="1999"/>
    </row>
    <row r="261" spans="2:17" ht="15.75" thickBot="1" x14ac:dyDescent="0.3">
      <c r="B261" s="363"/>
      <c r="C261" s="2009" t="s">
        <v>304</v>
      </c>
      <c r="D261" s="2010"/>
      <c r="E261" s="1355"/>
      <c r="F261" s="1355"/>
      <c r="G261" s="1355"/>
      <c r="H261" s="1355"/>
      <c r="I261" s="1355"/>
      <c r="J261" s="1355"/>
    </row>
    <row r="262" spans="2:17" ht="15" x14ac:dyDescent="0.25">
      <c r="B262" s="363"/>
      <c r="C262" s="1355"/>
      <c r="D262" s="1355"/>
      <c r="E262" s="1355"/>
      <c r="F262" s="1355"/>
      <c r="G262" s="1355"/>
      <c r="H262" s="1355"/>
      <c r="I262" s="1355"/>
      <c r="J262" s="1355"/>
    </row>
    <row r="263" spans="2:17" ht="15" x14ac:dyDescent="0.25">
      <c r="B263" s="363"/>
      <c r="C263" s="984" t="s">
        <v>348</v>
      </c>
      <c r="D263" s="387" t="s">
        <v>250</v>
      </c>
      <c r="E263" s="1355"/>
      <c r="F263" s="1355"/>
      <c r="G263" s="1355"/>
      <c r="H263" s="1355"/>
      <c r="I263" s="1355"/>
      <c r="J263" s="1355"/>
    </row>
    <row r="264" spans="2:17" ht="15" x14ac:dyDescent="0.25">
      <c r="B264" s="363"/>
      <c r="C264" s="984" t="s">
        <v>990</v>
      </c>
      <c r="D264" s="387">
        <v>11</v>
      </c>
      <c r="E264" s="1355"/>
      <c r="F264" s="1355"/>
      <c r="G264" s="1355"/>
      <c r="H264" s="1355"/>
      <c r="I264" s="1355"/>
      <c r="J264" s="1355"/>
    </row>
    <row r="265" spans="2:17" ht="15" x14ac:dyDescent="0.25">
      <c r="B265" s="363"/>
      <c r="C265" s="984" t="s">
        <v>991</v>
      </c>
      <c r="D265" s="383">
        <v>10</v>
      </c>
      <c r="E265" s="1355"/>
      <c r="F265" s="1355"/>
      <c r="G265" s="1355"/>
      <c r="H265" s="1355"/>
      <c r="I265" s="1355"/>
      <c r="J265" s="1355"/>
    </row>
    <row r="266" spans="2:17" ht="15.75" thickBot="1" x14ac:dyDescent="0.3">
      <c r="B266" s="363"/>
      <c r="C266" s="1355"/>
      <c r="D266" s="1355"/>
      <c r="E266" s="1355"/>
      <c r="F266" s="1355"/>
      <c r="G266" s="1355"/>
      <c r="H266" s="1355"/>
      <c r="I266" s="1355"/>
      <c r="J266" s="1355"/>
      <c r="K266" s="1355"/>
      <c r="L266" s="1355"/>
      <c r="M266" s="1355"/>
      <c r="N266" s="1355"/>
    </row>
    <row r="267" spans="2:17" ht="15" x14ac:dyDescent="0.25">
      <c r="B267" s="363"/>
      <c r="C267" s="473"/>
      <c r="D267" s="1356" t="s">
        <v>305</v>
      </c>
      <c r="E267" s="1355"/>
      <c r="F267" s="1355"/>
      <c r="G267" s="1355"/>
    </row>
    <row r="268" spans="2:17" ht="15.75" thickBot="1" x14ac:dyDescent="0.3">
      <c r="B268" s="363"/>
      <c r="C268" s="474" t="s">
        <v>317</v>
      </c>
      <c r="D268" s="476">
        <f>SUM(D264:D265)</f>
        <v>21</v>
      </c>
      <c r="E268" s="1355"/>
      <c r="F268" s="1355"/>
      <c r="G268" s="1355"/>
    </row>
    <row r="270" spans="2:17" s="1409" customFormat="1" ht="15" x14ac:dyDescent="0.2">
      <c r="B270" s="1410" t="str">
        <f>ORÇ!A376</f>
        <v>14.5.4</v>
      </c>
      <c r="C270" s="2011" t="str">
        <f>ORÇ!D376</f>
        <v>CAIXA DE GORDURA SIMPLES (CAPACIDADE: 36 L), RETANGULAR, EM ALVENARIA COM BLOCOS DE CONCRETO, DIMENSÕES INTERNAS = 0,2X0,4 M, ALTURA INTERNA = 0,8 M. AF_12/2020</v>
      </c>
      <c r="D270" s="2011"/>
      <c r="E270" s="2011"/>
      <c r="F270" s="2011"/>
      <c r="G270" s="2011"/>
      <c r="H270" s="2011"/>
      <c r="I270" s="2011"/>
      <c r="J270" s="2011"/>
      <c r="K270" s="2011"/>
      <c r="L270" s="2011"/>
      <c r="M270" s="2011"/>
      <c r="N270" s="2011"/>
      <c r="O270" s="2011"/>
      <c r="P270" s="2011"/>
      <c r="Q270" s="2011"/>
    </row>
    <row r="271" spans="2:17" ht="15.75" thickBot="1" x14ac:dyDescent="0.3">
      <c r="B271" s="363"/>
      <c r="C271" s="730"/>
      <c r="D271" s="730"/>
      <c r="E271" s="730"/>
      <c r="F271" s="730"/>
      <c r="G271" s="730"/>
      <c r="H271" s="730"/>
      <c r="I271" s="730"/>
      <c r="J271" s="730"/>
      <c r="K271" s="730"/>
      <c r="L271" s="730"/>
      <c r="M271" s="730"/>
      <c r="N271" s="730"/>
    </row>
    <row r="272" spans="2:17" ht="15" x14ac:dyDescent="0.25">
      <c r="B272" s="363"/>
      <c r="C272" s="473"/>
      <c r="D272" s="2000" t="s">
        <v>86</v>
      </c>
      <c r="E272" s="2001"/>
      <c r="F272" s="1355"/>
      <c r="G272" s="1355"/>
      <c r="H272" s="1355"/>
    </row>
    <row r="273" spans="2:14" ht="15.75" thickBot="1" x14ac:dyDescent="0.3">
      <c r="B273" s="363"/>
      <c r="C273" s="474" t="s">
        <v>317</v>
      </c>
      <c r="D273" s="475">
        <v>4</v>
      </c>
      <c r="E273" s="476" t="s">
        <v>96</v>
      </c>
      <c r="F273" s="1355"/>
      <c r="G273" s="1355"/>
      <c r="H273" s="1355"/>
    </row>
    <row r="274" spans="2:14" s="1408" customFormat="1" x14ac:dyDescent="0.2"/>
    <row r="275" spans="2:14" ht="15" x14ac:dyDescent="0.25">
      <c r="B275" s="363" t="str">
        <f>ORÇ!A377</f>
        <v>14.5.5</v>
      </c>
      <c r="C275" s="1999" t="s">
        <v>247</v>
      </c>
      <c r="D275" s="1999"/>
      <c r="E275" s="1999"/>
      <c r="F275" s="1999"/>
      <c r="G275" s="1999"/>
      <c r="H275" s="1999"/>
      <c r="I275" s="1999"/>
      <c r="J275" s="1999"/>
      <c r="K275" s="1999"/>
      <c r="L275" s="1999"/>
      <c r="M275" s="1999"/>
      <c r="N275" s="1999"/>
    </row>
    <row r="276" spans="2:14" ht="15" x14ac:dyDescent="0.25">
      <c r="B276" s="363"/>
      <c r="C276" s="1999"/>
      <c r="D276" s="1999"/>
      <c r="E276" s="1999"/>
      <c r="F276" s="1999"/>
      <c r="G276" s="1999"/>
      <c r="H276" s="1999"/>
      <c r="I276" s="1999"/>
      <c r="J276" s="1999"/>
      <c r="K276" s="1999"/>
      <c r="L276" s="1999"/>
      <c r="M276" s="1999"/>
      <c r="N276" s="1999"/>
    </row>
    <row r="277" spans="2:14" ht="14.25" x14ac:dyDescent="0.2">
      <c r="C277" s="362" t="s">
        <v>76</v>
      </c>
      <c r="D277" s="361">
        <v>2</v>
      </c>
      <c r="E277" s="360" t="s">
        <v>78</v>
      </c>
    </row>
    <row r="279" spans="2:14" ht="15" x14ac:dyDescent="0.25">
      <c r="B279" s="363" t="str">
        <f>ORÇ!A378</f>
        <v>14.5.6</v>
      </c>
      <c r="C279" s="1999" t="s">
        <v>246</v>
      </c>
      <c r="D279" s="1999"/>
      <c r="E279" s="1999"/>
      <c r="F279" s="1999"/>
      <c r="G279" s="1999"/>
      <c r="H279" s="1999"/>
      <c r="I279" s="1999"/>
      <c r="J279" s="1999"/>
      <c r="K279" s="1999"/>
      <c r="L279" s="1999"/>
      <c r="M279" s="1999"/>
      <c r="N279" s="1999"/>
    </row>
    <row r="281" spans="2:14" ht="14.25" x14ac:dyDescent="0.2">
      <c r="C281" s="362" t="s">
        <v>76</v>
      </c>
      <c r="D281" s="361">
        <v>2</v>
      </c>
      <c r="E281" s="360" t="s">
        <v>78</v>
      </c>
    </row>
    <row r="283" spans="2:14" ht="15" x14ac:dyDescent="0.25">
      <c r="B283" s="363" t="str">
        <f>ORÇ!A379</f>
        <v>14.5.7</v>
      </c>
      <c r="C283" s="1999" t="s">
        <v>245</v>
      </c>
      <c r="D283" s="1999"/>
      <c r="E283" s="1999"/>
      <c r="F283" s="1999"/>
      <c r="G283" s="1999"/>
      <c r="H283" s="1999"/>
      <c r="I283" s="1999"/>
      <c r="J283" s="1999"/>
      <c r="K283" s="1999"/>
      <c r="L283" s="1999"/>
      <c r="M283" s="1999"/>
      <c r="N283" s="1999"/>
    </row>
    <row r="284" spans="2:14" ht="15" x14ac:dyDescent="0.25">
      <c r="B284" s="363"/>
      <c r="C284" s="1999"/>
      <c r="D284" s="1999"/>
      <c r="E284" s="1999"/>
      <c r="F284" s="1999"/>
      <c r="G284" s="1999"/>
      <c r="H284" s="1999"/>
      <c r="I284" s="1999"/>
      <c r="J284" s="1999"/>
      <c r="K284" s="1999"/>
      <c r="L284" s="1999"/>
      <c r="M284" s="1999"/>
      <c r="N284" s="1999"/>
    </row>
    <row r="285" spans="2:14" ht="14.25" x14ac:dyDescent="0.2">
      <c r="C285" s="362" t="s">
        <v>76</v>
      </c>
      <c r="D285" s="361">
        <v>2</v>
      </c>
      <c r="E285" s="360" t="s">
        <v>78</v>
      </c>
    </row>
  </sheetData>
  <mergeCells count="71">
    <mergeCell ref="M7:Q7"/>
    <mergeCell ref="D18:E18"/>
    <mergeCell ref="D24:E24"/>
    <mergeCell ref="C179:Q179"/>
    <mergeCell ref="C81:Q81"/>
    <mergeCell ref="C85:Q85"/>
    <mergeCell ref="C89:Q89"/>
    <mergeCell ref="C93:Q93"/>
    <mergeCell ref="C101:Q101"/>
    <mergeCell ref="C105:Q105"/>
    <mergeCell ref="E157:F157"/>
    <mergeCell ref="E158:F158"/>
    <mergeCell ref="E151:F151"/>
    <mergeCell ref="C72:Q72"/>
    <mergeCell ref="D44:E44"/>
    <mergeCell ref="D30:E30"/>
    <mergeCell ref="A1:Q1"/>
    <mergeCell ref="B2:K2"/>
    <mergeCell ref="B3:Q3"/>
    <mergeCell ref="C13:F13"/>
    <mergeCell ref="M5:Q6"/>
    <mergeCell ref="A9:Q9"/>
    <mergeCell ref="A10:Q10"/>
    <mergeCell ref="A11:Q11"/>
    <mergeCell ref="L2:M2"/>
    <mergeCell ref="N2:Q2"/>
    <mergeCell ref="A6:A7"/>
    <mergeCell ref="B4:Q4"/>
    <mergeCell ref="B5:J5"/>
    <mergeCell ref="B6:J7"/>
    <mergeCell ref="K5:L6"/>
    <mergeCell ref="K7:L7"/>
    <mergeCell ref="C244:N244"/>
    <mergeCell ref="C187:N188"/>
    <mergeCell ref="C200:Q200"/>
    <mergeCell ref="C191:N192"/>
    <mergeCell ref="C195:N196"/>
    <mergeCell ref="C236:Q236"/>
    <mergeCell ref="C232:Q232"/>
    <mergeCell ref="C228:Q228"/>
    <mergeCell ref="C224:Q224"/>
    <mergeCell ref="C216:N216"/>
    <mergeCell ref="C204:Q204"/>
    <mergeCell ref="C283:N284"/>
    <mergeCell ref="C248:N248"/>
    <mergeCell ref="C275:N276"/>
    <mergeCell ref="C279:N279"/>
    <mergeCell ref="D251:E251"/>
    <mergeCell ref="C259:N260"/>
    <mergeCell ref="C261:D261"/>
    <mergeCell ref="C249:N250"/>
    <mergeCell ref="C254:N255"/>
    <mergeCell ref="D256:E256"/>
    <mergeCell ref="D272:E272"/>
    <mergeCell ref="C270:Q270"/>
    <mergeCell ref="C183:Q183"/>
    <mergeCell ref="C240:N240"/>
    <mergeCell ref="D35:E35"/>
    <mergeCell ref="C175:P175"/>
    <mergeCell ref="C110:Q110"/>
    <mergeCell ref="C133:C137"/>
    <mergeCell ref="C171:P171"/>
    <mergeCell ref="C167:P167"/>
    <mergeCell ref="C77:Q77"/>
    <mergeCell ref="C97:Q97"/>
    <mergeCell ref="E143:F143"/>
    <mergeCell ref="E144:F144"/>
    <mergeCell ref="E150:F150"/>
    <mergeCell ref="C208:Q208"/>
    <mergeCell ref="C220:N220"/>
    <mergeCell ref="C212:N212"/>
  </mergeCells>
  <pageMargins left="0.511811024" right="0.511811024" top="0.78740157499999996" bottom="0.78740157499999996" header="0.31496062000000002" footer="0.31496062000000002"/>
  <pageSetup paperSize="9" scale="44" orientation="portrait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2"/>
  <sheetViews>
    <sheetView view="pageBreakPreview" topLeftCell="A213" zoomScale="85" zoomScaleNormal="100" zoomScaleSheetLayoutView="85" workbookViewId="0">
      <selection activeCell="J230" sqref="J230"/>
    </sheetView>
  </sheetViews>
  <sheetFormatPr defaultColWidth="9.140625" defaultRowHeight="12.75" x14ac:dyDescent="0.2"/>
  <cols>
    <col min="1" max="1" width="14.85546875" style="351" customWidth="1"/>
    <col min="2" max="3" width="12.28515625" style="351" customWidth="1"/>
    <col min="4" max="4" width="9.140625" style="351"/>
    <col min="5" max="5" width="10.140625" style="351" customWidth="1"/>
    <col min="6" max="6" width="10.85546875" style="351" customWidth="1"/>
    <col min="7" max="7" width="12.28515625" style="351" customWidth="1"/>
    <col min="8" max="16384" width="9.140625" style="351"/>
  </cols>
  <sheetData>
    <row r="1" spans="1:25" ht="74.2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25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25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25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25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25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25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25" ht="13.5" thickBot="1" x14ac:dyDescent="0.25"/>
    <row r="9" spans="1:25" ht="13.5" thickBot="1" x14ac:dyDescent="0.25">
      <c r="A9" s="1984" t="s">
        <v>288</v>
      </c>
      <c r="B9" s="1985"/>
      <c r="C9" s="1985"/>
      <c r="D9" s="1985"/>
      <c r="E9" s="1985"/>
      <c r="F9" s="1985"/>
      <c r="G9" s="1985"/>
      <c r="H9" s="1985"/>
      <c r="I9" s="1985"/>
      <c r="J9" s="1985"/>
      <c r="K9" s="1985"/>
      <c r="L9" s="1985"/>
      <c r="M9" s="1985"/>
      <c r="N9" s="1986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1:25" ht="13.5" thickBot="1" x14ac:dyDescent="0.25">
      <c r="A10" s="1984" t="str">
        <f>ORÇ!B3</f>
        <v>CONSTRUÇÃO DO COMPLEXO ADMINISTRATIVO DO MUNICIPIO DE PLACAS</v>
      </c>
      <c r="B10" s="1985"/>
      <c r="C10" s="1985"/>
      <c r="D10" s="1985"/>
      <c r="E10" s="1985"/>
      <c r="F10" s="1985"/>
      <c r="G10" s="1985"/>
      <c r="H10" s="1985"/>
      <c r="I10" s="1985"/>
      <c r="J10" s="1985"/>
      <c r="K10" s="1985"/>
      <c r="L10" s="1985"/>
      <c r="M10" s="1985"/>
      <c r="N10" s="1986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1:25" ht="13.5" thickBot="1" x14ac:dyDescent="0.25">
      <c r="A11" s="1984" t="str">
        <f>[5]ORÇ!C436</f>
        <v>Louças, Acessórios e Metais</v>
      </c>
      <c r="B11" s="1985"/>
      <c r="C11" s="1985"/>
      <c r="D11" s="1985"/>
      <c r="E11" s="1985"/>
      <c r="F11" s="1985"/>
      <c r="G11" s="1985"/>
      <c r="H11" s="1985"/>
      <c r="I11" s="1985"/>
      <c r="J11" s="1985"/>
      <c r="K11" s="1985"/>
      <c r="L11" s="1985"/>
      <c r="M11" s="1985"/>
      <c r="N11" s="1986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1:25" x14ac:dyDescent="0.2">
      <c r="A12" s="400"/>
      <c r="B12" s="400"/>
      <c r="C12" s="400"/>
      <c r="D12" s="400"/>
      <c r="E12" s="400"/>
      <c r="F12" s="400"/>
      <c r="G12" s="400"/>
      <c r="H12" s="400"/>
      <c r="I12" s="400"/>
      <c r="J12" s="400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1:25" x14ac:dyDescent="0.2">
      <c r="A13" s="410">
        <f>ORÇ!A409</f>
        <v>16</v>
      </c>
      <c r="B13" s="411" t="str">
        <f>ORÇ!D409</f>
        <v>Louças, Acessórios e Metais</v>
      </c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5" spans="1:25" x14ac:dyDescent="0.2">
      <c r="A15" s="410" t="str">
        <f>ORÇ!A410</f>
        <v>16.1</v>
      </c>
      <c r="B15" s="2002" t="str">
        <f>ORÇ!D410</f>
        <v>VASO SANITARIO SIFONADO CONVENCIONAL COM  LOUÇA BRANCA - FORNECIMENTO E INSTALAÇÃO. AF_01/2020</v>
      </c>
      <c r="C15" s="2002"/>
      <c r="D15" s="2002"/>
      <c r="E15" s="2002"/>
      <c r="F15" s="2002"/>
      <c r="G15" s="2002"/>
      <c r="H15" s="2002"/>
      <c r="I15" s="2002"/>
      <c r="J15" s="2002"/>
      <c r="K15" s="2002"/>
      <c r="L15" s="2002"/>
      <c r="M15" s="2002"/>
      <c r="N15" s="2002"/>
    </row>
    <row r="16" spans="1:25" x14ac:dyDescent="0.2">
      <c r="A16" s="410"/>
      <c r="B16" s="411"/>
    </row>
    <row r="17" spans="1:25" x14ac:dyDescent="0.2">
      <c r="A17" s="410"/>
      <c r="B17" s="2028" t="s">
        <v>304</v>
      </c>
      <c r="C17" s="2028"/>
      <c r="F17" s="2028"/>
      <c r="G17" s="2028"/>
    </row>
    <row r="18" spans="1:25" x14ac:dyDescent="0.2">
      <c r="A18" s="410"/>
      <c r="B18" s="1443" t="s">
        <v>290</v>
      </c>
      <c r="C18" s="800" t="s">
        <v>250</v>
      </c>
      <c r="F18" s="1443"/>
      <c r="G18" s="800"/>
    </row>
    <row r="19" spans="1:25" x14ac:dyDescent="0.2">
      <c r="A19" s="410"/>
      <c r="B19" s="727" t="s">
        <v>577</v>
      </c>
      <c r="C19" s="804">
        <v>4</v>
      </c>
      <c r="F19" s="727"/>
      <c r="G19" s="804"/>
    </row>
    <row r="20" spans="1:25" ht="25.5" x14ac:dyDescent="0.2">
      <c r="A20" s="410"/>
      <c r="B20" s="727" t="s">
        <v>671</v>
      </c>
      <c r="C20" s="804">
        <v>2</v>
      </c>
      <c r="F20" s="727"/>
      <c r="G20" s="804"/>
    </row>
    <row r="21" spans="1:25" ht="25.5" x14ac:dyDescent="0.2">
      <c r="A21" s="410"/>
      <c r="B21" s="727" t="s">
        <v>578</v>
      </c>
      <c r="C21" s="804">
        <v>2</v>
      </c>
      <c r="F21" s="727"/>
      <c r="G21" s="804"/>
    </row>
    <row r="22" spans="1:25" x14ac:dyDescent="0.2">
      <c r="A22" s="410"/>
      <c r="B22" s="727" t="s">
        <v>579</v>
      </c>
      <c r="C22" s="804">
        <v>2</v>
      </c>
      <c r="F22" s="727"/>
      <c r="G22" s="804"/>
    </row>
    <row r="23" spans="1:25" x14ac:dyDescent="0.2">
      <c r="A23" s="410"/>
      <c r="B23" s="727" t="s">
        <v>580</v>
      </c>
      <c r="C23" s="804">
        <v>1</v>
      </c>
      <c r="F23" s="727"/>
      <c r="G23" s="804"/>
    </row>
    <row r="24" spans="1:25" x14ac:dyDescent="0.2">
      <c r="A24" s="410"/>
      <c r="B24" s="727" t="s">
        <v>1446</v>
      </c>
      <c r="C24" s="804">
        <v>1</v>
      </c>
      <c r="F24" s="727"/>
      <c r="G24" s="804"/>
    </row>
    <row r="25" spans="1:25" x14ac:dyDescent="0.2">
      <c r="A25" s="410"/>
      <c r="B25" s="414"/>
      <c r="C25" s="800"/>
      <c r="F25" s="414"/>
      <c r="G25" s="800"/>
    </row>
    <row r="26" spans="1:25" x14ac:dyDescent="0.2">
      <c r="A26" s="410"/>
      <c r="B26" s="1438" t="s">
        <v>86</v>
      </c>
      <c r="C26" s="1437">
        <f>SUM(C19:C24)</f>
        <v>12</v>
      </c>
      <c r="D26" s="1436" t="s">
        <v>78</v>
      </c>
    </row>
    <row r="27" spans="1:25" x14ac:dyDescent="0.2">
      <c r="A27" s="410"/>
      <c r="B27" s="411"/>
    </row>
    <row r="28" spans="1:25" x14ac:dyDescent="0.2">
      <c r="A28" s="414" t="str">
        <f>ORÇ!A411</f>
        <v>16.2</v>
      </c>
      <c r="B28" s="2002" t="str">
        <f>ORÇ!D411</f>
        <v>VASO SANITARIO SIFONADO CONVENCIONAL PARA PCD SEM FURO FRONTAL COM  LOUÇA BRANCA SEM ASSENTO -  FORNECIMENTO E INSTALAÇÃO. AF_01/2020</v>
      </c>
      <c r="C28" s="2002"/>
      <c r="D28" s="2002"/>
      <c r="E28" s="2002"/>
      <c r="F28" s="2002"/>
      <c r="G28" s="2002"/>
      <c r="H28" s="2002"/>
      <c r="I28" s="2002"/>
      <c r="J28" s="2002"/>
      <c r="K28" s="2002"/>
      <c r="L28" s="2002"/>
      <c r="M28" s="2002"/>
      <c r="N28" s="2002"/>
      <c r="O28" s="1357"/>
      <c r="P28" s="1357"/>
      <c r="Q28" s="1357"/>
      <c r="R28" s="1357"/>
      <c r="S28" s="1357"/>
      <c r="T28" s="1357"/>
      <c r="U28" s="1357"/>
      <c r="V28" s="1357"/>
      <c r="W28" s="1357"/>
      <c r="X28" s="1357"/>
      <c r="Y28" s="1357"/>
    </row>
    <row r="30" spans="1:25" x14ac:dyDescent="0.2">
      <c r="A30" s="410"/>
      <c r="B30" s="2028" t="s">
        <v>304</v>
      </c>
      <c r="C30" s="2028"/>
      <c r="F30" s="2028"/>
      <c r="G30" s="2028"/>
    </row>
    <row r="31" spans="1:25" x14ac:dyDescent="0.2">
      <c r="A31" s="410"/>
      <c r="B31" s="1443" t="s">
        <v>290</v>
      </c>
      <c r="C31" s="800" t="s">
        <v>250</v>
      </c>
      <c r="F31" s="1443"/>
      <c r="G31" s="800"/>
    </row>
    <row r="32" spans="1:25" x14ac:dyDescent="0.2">
      <c r="A32" s="410"/>
      <c r="B32" s="727" t="s">
        <v>577</v>
      </c>
      <c r="C32" s="804">
        <v>1</v>
      </c>
      <c r="F32" s="727"/>
      <c r="G32" s="804"/>
    </row>
    <row r="33" spans="1:25" ht="25.5" x14ac:dyDescent="0.2">
      <c r="A33" s="410"/>
      <c r="B33" s="727" t="s">
        <v>671</v>
      </c>
      <c r="C33" s="804">
        <v>1</v>
      </c>
      <c r="F33" s="727"/>
      <c r="G33" s="804"/>
    </row>
    <row r="34" spans="1:25" ht="25.5" x14ac:dyDescent="0.2">
      <c r="A34" s="410"/>
      <c r="B34" s="727" t="s">
        <v>1448</v>
      </c>
      <c r="C34" s="804">
        <v>1</v>
      </c>
      <c r="F34" s="727"/>
      <c r="G34" s="804"/>
    </row>
    <row r="35" spans="1:25" ht="25.5" x14ac:dyDescent="0.2">
      <c r="A35" s="410"/>
      <c r="B35" s="727" t="s">
        <v>1447</v>
      </c>
      <c r="C35" s="804">
        <v>1</v>
      </c>
      <c r="F35" s="727"/>
      <c r="G35" s="804"/>
    </row>
    <row r="36" spans="1:25" x14ac:dyDescent="0.2">
      <c r="A36" s="410"/>
      <c r="B36" s="727"/>
      <c r="C36" s="804"/>
    </row>
    <row r="37" spans="1:25" x14ac:dyDescent="0.2">
      <c r="B37" s="1438" t="s">
        <v>86</v>
      </c>
      <c r="C37" s="1437">
        <f>SUM(C32:C35)</f>
        <v>4</v>
      </c>
      <c r="D37" s="1436" t="s">
        <v>78</v>
      </c>
    </row>
    <row r="39" spans="1:25" x14ac:dyDescent="0.2">
      <c r="A39" s="414" t="str">
        <f>ORÇ!A412</f>
        <v>16.3</v>
      </c>
      <c r="B39" s="2002" t="str">
        <f>ORÇ!D412</f>
        <v>ASSENTO SANITÁRIO CONVENCIONAL - FORNECIMENTO E INSTALACAO. AF_01/2020</v>
      </c>
      <c r="C39" s="2002"/>
      <c r="D39" s="2002"/>
      <c r="E39" s="2002"/>
      <c r="F39" s="2002"/>
      <c r="G39" s="2002"/>
      <c r="H39" s="2002"/>
      <c r="I39" s="2002"/>
      <c r="J39" s="2002"/>
      <c r="K39" s="2002"/>
      <c r="L39" s="2002"/>
      <c r="M39" s="1357"/>
      <c r="N39" s="1357"/>
      <c r="O39" s="1357"/>
      <c r="P39" s="1357"/>
      <c r="Q39" s="1357"/>
      <c r="R39" s="1357"/>
      <c r="S39" s="1357"/>
      <c r="T39" s="1357"/>
      <c r="U39" s="1357"/>
      <c r="V39" s="1357"/>
      <c r="W39" s="1357"/>
      <c r="X39" s="1357"/>
      <c r="Y39" s="1357"/>
    </row>
    <row r="41" spans="1:25" x14ac:dyDescent="0.2">
      <c r="B41" s="351" t="s">
        <v>535</v>
      </c>
    </row>
    <row r="42" spans="1:25" x14ac:dyDescent="0.2">
      <c r="B42" s="1438" t="s">
        <v>86</v>
      </c>
      <c r="C42" s="1437">
        <f>C37+C26</f>
        <v>16</v>
      </c>
      <c r="D42" s="1436" t="s">
        <v>78</v>
      </c>
    </row>
    <row r="44" spans="1:25" x14ac:dyDescent="0.2">
      <c r="A44" s="414" t="str">
        <f>ORÇ!A413</f>
        <v>16.4</v>
      </c>
      <c r="B44" s="2002" t="str">
        <f>ORÇ!D413</f>
        <v>Mictorio individual em louça c/ acessorios</v>
      </c>
      <c r="C44" s="2002"/>
      <c r="D44" s="2002"/>
      <c r="E44" s="2002"/>
      <c r="F44" s="2002"/>
      <c r="G44" s="2002"/>
      <c r="H44" s="2002"/>
      <c r="I44" s="2002"/>
      <c r="J44" s="2002"/>
      <c r="K44" s="2002"/>
      <c r="L44" s="2002"/>
      <c r="M44" s="1357"/>
      <c r="N44" s="1357"/>
      <c r="O44" s="1357"/>
      <c r="P44" s="1357"/>
      <c r="Q44" s="1357"/>
      <c r="R44" s="1357"/>
      <c r="S44" s="1357"/>
      <c r="T44" s="1357"/>
      <c r="U44" s="1357"/>
      <c r="V44" s="1357"/>
      <c r="W44" s="1357"/>
      <c r="X44" s="1357"/>
      <c r="Y44" s="1357"/>
    </row>
    <row r="46" spans="1:25" x14ac:dyDescent="0.2">
      <c r="B46" s="1438" t="s">
        <v>86</v>
      </c>
      <c r="C46" s="1437">
        <v>2</v>
      </c>
      <c r="D46" s="1436" t="s">
        <v>78</v>
      </c>
    </row>
    <row r="48" spans="1:25" x14ac:dyDescent="0.2">
      <c r="A48" s="414" t="str">
        <f>ORÇ!A414</f>
        <v>16.5</v>
      </c>
      <c r="B48" s="1998" t="str">
        <f>ORÇ!D414</f>
        <v>Ducha higienica cromada</v>
      </c>
      <c r="C48" s="1998"/>
      <c r="D48" s="1998"/>
      <c r="E48" s="1998"/>
      <c r="F48" s="1998"/>
      <c r="G48" s="1998"/>
      <c r="H48" s="1998"/>
      <c r="I48" s="1998"/>
      <c r="J48" s="1998"/>
      <c r="K48" s="1998"/>
      <c r="L48" s="1998"/>
      <c r="M48" s="1357"/>
      <c r="N48" s="1357"/>
      <c r="O48" s="1357"/>
      <c r="P48" s="1357"/>
      <c r="Q48" s="1357"/>
      <c r="R48" s="1357"/>
      <c r="S48" s="1357"/>
      <c r="T48" s="1357"/>
      <c r="U48" s="1357"/>
      <c r="V48" s="1357"/>
      <c r="W48" s="1357"/>
      <c r="X48" s="1357"/>
      <c r="Y48" s="1357"/>
    </row>
    <row r="50" spans="1:14" x14ac:dyDescent="0.2">
      <c r="B50" s="2024" t="s">
        <v>304</v>
      </c>
      <c r="C50" s="2024"/>
      <c r="E50" s="2024"/>
      <c r="F50" s="2024"/>
    </row>
    <row r="51" spans="1:14" x14ac:dyDescent="0.2">
      <c r="B51" s="800" t="s">
        <v>309</v>
      </c>
      <c r="C51" s="800" t="s">
        <v>250</v>
      </c>
      <c r="E51" s="800"/>
      <c r="F51" s="800"/>
    </row>
    <row r="52" spans="1:14" x14ac:dyDescent="0.2">
      <c r="B52" s="727" t="str">
        <f>B19</f>
        <v>WC Fem. 01</v>
      </c>
      <c r="C52" s="1461">
        <v>1</v>
      </c>
      <c r="E52" s="727"/>
      <c r="F52" s="1461"/>
    </row>
    <row r="53" spans="1:14" ht="25.5" x14ac:dyDescent="0.2">
      <c r="B53" s="727" t="str">
        <f>B20</f>
        <v>WC Masc. 01</v>
      </c>
      <c r="C53" s="1461">
        <v>1</v>
      </c>
      <c r="E53" s="727"/>
      <c r="F53" s="1461"/>
    </row>
    <row r="54" spans="1:14" x14ac:dyDescent="0.2">
      <c r="B54" s="800" t="s">
        <v>580</v>
      </c>
      <c r="C54" s="1461">
        <v>1</v>
      </c>
      <c r="E54" s="727"/>
      <c r="F54" s="1461"/>
    </row>
    <row r="55" spans="1:14" x14ac:dyDescent="0.2">
      <c r="B55" s="800" t="s">
        <v>1446</v>
      </c>
      <c r="C55" s="1461">
        <v>1</v>
      </c>
      <c r="E55" s="727"/>
      <c r="F55" s="1461"/>
    </row>
    <row r="57" spans="1:14" s="1409" customFormat="1" x14ac:dyDescent="0.2">
      <c r="B57" s="1459" t="s">
        <v>86</v>
      </c>
      <c r="C57" s="1458">
        <f>SUM(C52:C55)</f>
        <v>4</v>
      </c>
      <c r="D57" s="1457" t="s">
        <v>78</v>
      </c>
    </row>
    <row r="59" spans="1:14" x14ac:dyDescent="0.2">
      <c r="A59" s="412" t="str">
        <f>ORÇ!A415</f>
        <v>16.6</v>
      </c>
      <c r="B59" s="411" t="str">
        <f>ORÇ!D415</f>
        <v>CHUVEIRO ELÉTRICO COMUM CORPO PLÁSTICO, TIPO DUCHA  FORNECIMENTO E INSTALAÇÃO. AF_01/2020</v>
      </c>
      <c r="C59" s="425"/>
      <c r="D59" s="425"/>
      <c r="E59" s="425"/>
      <c r="F59" s="425"/>
      <c r="G59" s="425"/>
      <c r="H59" s="425"/>
      <c r="I59" s="425"/>
      <c r="J59" s="425"/>
    </row>
    <row r="60" spans="1:14" x14ac:dyDescent="0.2"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</row>
    <row r="61" spans="1:14" x14ac:dyDescent="0.2">
      <c r="B61" s="2024" t="s">
        <v>304</v>
      </c>
      <c r="C61" s="2024"/>
      <c r="E61" s="2024"/>
      <c r="F61" s="2024"/>
      <c r="G61" s="1449"/>
      <c r="H61" s="1449"/>
      <c r="I61" s="1449"/>
      <c r="J61" s="1449"/>
      <c r="K61" s="1449"/>
      <c r="L61" s="1449"/>
      <c r="M61" s="1449"/>
      <c r="N61" s="1449"/>
    </row>
    <row r="62" spans="1:14" x14ac:dyDescent="0.2">
      <c r="B62" s="800" t="s">
        <v>309</v>
      </c>
      <c r="C62" s="800" t="s">
        <v>250</v>
      </c>
      <c r="E62" s="800"/>
      <c r="F62" s="800"/>
      <c r="G62" s="1449"/>
      <c r="H62" s="1449"/>
      <c r="I62" s="1449"/>
      <c r="J62" s="1449"/>
      <c r="K62" s="1449"/>
      <c r="L62" s="1449"/>
      <c r="M62" s="1449"/>
      <c r="N62" s="1449"/>
    </row>
    <row r="63" spans="1:14" ht="25.5" x14ac:dyDescent="0.2">
      <c r="B63" s="727" t="s">
        <v>578</v>
      </c>
      <c r="C63" s="1461">
        <v>1</v>
      </c>
      <c r="E63" s="800"/>
      <c r="F63" s="1461"/>
      <c r="G63" s="1449"/>
      <c r="H63" s="1449"/>
      <c r="I63" s="1449"/>
      <c r="J63" s="1449"/>
      <c r="K63" s="1449"/>
      <c r="L63" s="1449"/>
      <c r="M63" s="1449"/>
      <c r="N63" s="1449"/>
    </row>
    <row r="64" spans="1:14" x14ac:dyDescent="0.2">
      <c r="B64" s="727" t="s">
        <v>579</v>
      </c>
      <c r="C64" s="1461">
        <v>1</v>
      </c>
      <c r="E64" s="800"/>
      <c r="F64" s="800"/>
      <c r="G64" s="1449"/>
      <c r="H64" s="1449"/>
      <c r="I64" s="1449"/>
      <c r="J64" s="1449"/>
      <c r="K64" s="1449"/>
      <c r="L64" s="1449"/>
      <c r="M64" s="1449"/>
      <c r="N64" s="1449"/>
    </row>
    <row r="65" spans="1:14" x14ac:dyDescent="0.2">
      <c r="B65" s="727" t="s">
        <v>580</v>
      </c>
      <c r="C65" s="1461">
        <v>1</v>
      </c>
      <c r="E65" s="800"/>
      <c r="F65" s="804"/>
      <c r="G65" s="1449"/>
      <c r="H65" s="1449"/>
      <c r="I65" s="1449"/>
      <c r="J65" s="1449"/>
      <c r="K65" s="1449"/>
      <c r="L65" s="1449"/>
      <c r="M65" s="1449"/>
      <c r="N65" s="1449"/>
    </row>
    <row r="66" spans="1:14" x14ac:dyDescent="0.2">
      <c r="B66" s="727" t="s">
        <v>1446</v>
      </c>
      <c r="C66" s="1460">
        <v>1</v>
      </c>
      <c r="D66" s="1449"/>
      <c r="E66" s="1449"/>
      <c r="F66" s="1449"/>
      <c r="G66" s="1449"/>
      <c r="H66" s="1449"/>
      <c r="I66" s="1449"/>
      <c r="J66" s="1449"/>
      <c r="K66" s="1449"/>
      <c r="L66" s="1449"/>
      <c r="M66" s="1449"/>
      <c r="N66" s="1449"/>
    </row>
    <row r="67" spans="1:14" x14ac:dyDescent="0.2">
      <c r="C67" s="1449"/>
      <c r="D67" s="1449"/>
      <c r="E67" s="1449"/>
      <c r="F67" s="1449"/>
      <c r="G67" s="1449"/>
      <c r="H67" s="1449"/>
      <c r="I67" s="1449"/>
      <c r="J67" s="1449"/>
      <c r="K67" s="1449"/>
      <c r="L67" s="1449"/>
      <c r="M67" s="1449"/>
      <c r="N67" s="1449"/>
    </row>
    <row r="68" spans="1:14" s="1409" customFormat="1" x14ac:dyDescent="0.2">
      <c r="B68" s="1459" t="s">
        <v>86</v>
      </c>
      <c r="C68" s="1458">
        <f>SUM(C63:C66)</f>
        <v>4</v>
      </c>
      <c r="D68" s="1457" t="s">
        <v>78</v>
      </c>
      <c r="E68" s="1456"/>
      <c r="F68" s="1456"/>
      <c r="G68" s="1456"/>
      <c r="H68" s="1456"/>
      <c r="I68" s="1456"/>
      <c r="J68" s="1456"/>
      <c r="K68" s="413"/>
      <c r="L68" s="1456"/>
      <c r="M68" s="1456"/>
      <c r="N68" s="1456"/>
    </row>
    <row r="69" spans="1:14" x14ac:dyDescent="0.2">
      <c r="B69" s="1451"/>
      <c r="C69" s="1451"/>
      <c r="D69" s="1451"/>
      <c r="E69" s="1450"/>
      <c r="F69" s="1450"/>
      <c r="G69" s="1450"/>
      <c r="H69" s="1450"/>
      <c r="I69" s="1450"/>
      <c r="J69" s="1450"/>
      <c r="K69" s="413"/>
      <c r="L69" s="1450"/>
      <c r="M69" s="1450"/>
      <c r="N69" s="1450"/>
    </row>
    <row r="70" spans="1:14" x14ac:dyDescent="0.2">
      <c r="A70" s="414" t="str">
        <f>ORÇ!A416</f>
        <v>16.7</v>
      </c>
      <c r="B70" s="1998" t="str">
        <f>ORÇ!D416</f>
        <v>LAVATÓRIO LOUÇA BRANCA SUSPENSO, 29,5 X 39CM OU EQUIVALENTE, PADRÃO POPULAR, INCLUSO SIFÃO TIPO GARRAFA EM PVC, VÁLVULA E ENGATE FLEXÍVEL 30CM EM PLÁSTICO E TORNEIRA CROMADA DE MESA, PADRÃO POPULAR - FORNECIMENTO E INSTALAÇÃO. AF_01/2020</v>
      </c>
      <c r="C70" s="1998"/>
      <c r="D70" s="1998"/>
      <c r="E70" s="1998"/>
      <c r="F70" s="1998"/>
      <c r="G70" s="1998"/>
      <c r="H70" s="1998"/>
      <c r="I70" s="1998"/>
      <c r="J70" s="1998"/>
      <c r="K70" s="1998"/>
      <c r="L70" s="1998"/>
      <c r="M70" s="1998"/>
      <c r="N70" s="1998"/>
    </row>
    <row r="71" spans="1:14" x14ac:dyDescent="0.2">
      <c r="A71" s="410"/>
      <c r="B71" s="2028" t="s">
        <v>304</v>
      </c>
      <c r="C71" s="2028"/>
    </row>
    <row r="72" spans="1:14" x14ac:dyDescent="0.2">
      <c r="A72" s="410"/>
      <c r="B72" s="1443" t="s">
        <v>290</v>
      </c>
      <c r="C72" s="800" t="s">
        <v>250</v>
      </c>
    </row>
    <row r="73" spans="1:14" ht="25.5" x14ac:dyDescent="0.2">
      <c r="A73" s="410"/>
      <c r="B73" s="727" t="s">
        <v>961</v>
      </c>
      <c r="C73" s="804">
        <v>1</v>
      </c>
    </row>
    <row r="74" spans="1:14" ht="25.5" x14ac:dyDescent="0.2">
      <c r="A74" s="410"/>
      <c r="B74" s="727" t="s">
        <v>960</v>
      </c>
      <c r="C74" s="804">
        <v>1</v>
      </c>
    </row>
    <row r="75" spans="1:14" ht="25.5" x14ac:dyDescent="0.2">
      <c r="A75" s="410"/>
      <c r="B75" s="727" t="s">
        <v>578</v>
      </c>
      <c r="C75" s="804">
        <v>2</v>
      </c>
    </row>
    <row r="76" spans="1:14" x14ac:dyDescent="0.2">
      <c r="A76" s="410"/>
      <c r="B76" s="727" t="s">
        <v>579</v>
      </c>
      <c r="C76" s="804">
        <v>2</v>
      </c>
    </row>
    <row r="77" spans="1:14" x14ac:dyDescent="0.2">
      <c r="A77" s="410"/>
      <c r="B77" s="727" t="s">
        <v>298</v>
      </c>
      <c r="C77" s="804">
        <v>1</v>
      </c>
    </row>
    <row r="78" spans="1:14" x14ac:dyDescent="0.2">
      <c r="A78" s="410"/>
      <c r="B78" s="727" t="s">
        <v>1433</v>
      </c>
      <c r="C78" s="804">
        <v>1</v>
      </c>
    </row>
    <row r="79" spans="1:14" x14ac:dyDescent="0.2">
      <c r="A79" s="410"/>
      <c r="B79" s="414"/>
      <c r="C79" s="800"/>
    </row>
    <row r="80" spans="1:14" x14ac:dyDescent="0.2">
      <c r="B80" s="1438" t="s">
        <v>86</v>
      </c>
      <c r="C80" s="1437">
        <f>SUM(C73:C78)</f>
        <v>8</v>
      </c>
      <c r="D80" s="1436" t="s">
        <v>78</v>
      </c>
      <c r="E80" s="1450"/>
      <c r="F80" s="1450"/>
      <c r="G80" s="1450"/>
      <c r="H80" s="1450"/>
      <c r="I80" s="1450"/>
      <c r="J80" s="1450"/>
      <c r="K80" s="413"/>
      <c r="L80" s="1450"/>
      <c r="M80" s="1450"/>
      <c r="N80" s="1450"/>
    </row>
    <row r="81" spans="1:14" x14ac:dyDescent="0.2">
      <c r="A81" s="1451"/>
      <c r="B81" s="1451"/>
      <c r="C81" s="1451"/>
      <c r="D81" s="1451"/>
      <c r="E81" s="1450"/>
      <c r="F81" s="1450"/>
      <c r="G81" s="1450"/>
      <c r="H81" s="1450"/>
      <c r="I81" s="1450"/>
      <c r="J81" s="1450"/>
      <c r="K81" s="413"/>
      <c r="L81" s="1450"/>
      <c r="M81" s="1450"/>
      <c r="N81" s="1450"/>
    </row>
    <row r="82" spans="1:14" x14ac:dyDescent="0.2">
      <c r="A82" s="414" t="str">
        <f>ORÇ!A417</f>
        <v>16.8</v>
      </c>
      <c r="B82" s="1998" t="str">
        <f>ORÇ!D417</f>
        <v xml:space="preserve">BANCADA GRANITO CINZA POLIDO, 400X60CM PADRÃO POPULAR, COM 4 CUBAS DE EMBUTIR OVAL EM LOUÇA BRANCA, INCLUINDO VÁLVULA E SIFÃO TIPO GARRAFA EM METAL CROMADO - FORNECIMENTO E INSTALAÇÃO. </v>
      </c>
      <c r="C82" s="1998"/>
      <c r="D82" s="1998"/>
      <c r="E82" s="1998"/>
      <c r="F82" s="1998"/>
      <c r="G82" s="1998"/>
      <c r="H82" s="1998"/>
      <c r="I82" s="1998"/>
      <c r="J82" s="1998"/>
      <c r="K82" s="1998"/>
      <c r="L82" s="1998"/>
      <c r="M82" s="1998"/>
      <c r="N82" s="1998"/>
    </row>
    <row r="83" spans="1:14" x14ac:dyDescent="0.2">
      <c r="A83" s="1452"/>
      <c r="B83" s="1449"/>
      <c r="C83" s="1449"/>
      <c r="D83" s="1449"/>
      <c r="E83" s="1449"/>
      <c r="F83" s="1449"/>
      <c r="G83" s="1449"/>
      <c r="H83" s="1449"/>
      <c r="I83" s="1449"/>
      <c r="J83" s="1449"/>
      <c r="K83" s="364"/>
      <c r="L83" s="1449"/>
      <c r="M83" s="1449"/>
      <c r="N83" s="1449"/>
    </row>
    <row r="84" spans="1:14" x14ac:dyDescent="0.2">
      <c r="A84" s="1452"/>
      <c r="B84" s="2023" t="s">
        <v>334</v>
      </c>
      <c r="C84" s="2023"/>
      <c r="D84" s="1449"/>
      <c r="E84" s="1449"/>
      <c r="F84" s="1449"/>
      <c r="G84" s="1449"/>
      <c r="H84" s="1449"/>
      <c r="I84" s="1449"/>
      <c r="J84" s="1449"/>
      <c r="K84" s="364"/>
      <c r="L84" s="1449"/>
      <c r="M84" s="1449"/>
      <c r="N84" s="1449"/>
    </row>
    <row r="85" spans="1:14" x14ac:dyDescent="0.2">
      <c r="A85" s="1452"/>
      <c r="B85" s="1429" t="s">
        <v>224</v>
      </c>
      <c r="C85" s="1429" t="s">
        <v>35</v>
      </c>
      <c r="D85" s="1449"/>
      <c r="E85" s="1449"/>
      <c r="F85" s="1449"/>
      <c r="G85" s="1449"/>
      <c r="H85" s="1449"/>
      <c r="I85" s="1449"/>
      <c r="J85" s="1449"/>
      <c r="K85" s="364"/>
      <c r="L85" s="1449"/>
      <c r="M85" s="1449"/>
      <c r="N85" s="1449"/>
    </row>
    <row r="86" spans="1:14" x14ac:dyDescent="0.2">
      <c r="A86" s="1452"/>
      <c r="B86" s="1429" t="s">
        <v>1438</v>
      </c>
      <c r="C86" s="1429">
        <v>1</v>
      </c>
      <c r="D86" s="1449"/>
      <c r="E86" s="1449"/>
      <c r="F86" s="1449"/>
      <c r="G86" s="1449"/>
      <c r="H86" s="1449"/>
      <c r="I86" s="1449"/>
      <c r="J86" s="1449"/>
      <c r="K86" s="364"/>
      <c r="L86" s="1449"/>
      <c r="M86" s="1449"/>
      <c r="N86" s="1449"/>
    </row>
    <row r="87" spans="1:14" x14ac:dyDescent="0.2">
      <c r="A87" s="1452"/>
      <c r="B87" s="1429" t="s">
        <v>1437</v>
      </c>
      <c r="C87" s="1429">
        <v>1</v>
      </c>
      <c r="D87" s="1449"/>
      <c r="E87" s="1449"/>
      <c r="F87" s="1449"/>
      <c r="G87" s="1449"/>
      <c r="H87" s="1449"/>
      <c r="I87" s="1449"/>
      <c r="J87" s="1449"/>
      <c r="K87" s="364"/>
      <c r="L87" s="1449"/>
      <c r="M87" s="1449"/>
      <c r="N87" s="1449"/>
    </row>
    <row r="88" spans="1:14" x14ac:dyDescent="0.2">
      <c r="A88" s="1452"/>
      <c r="B88" s="1449"/>
      <c r="C88" s="1449"/>
      <c r="D88" s="1449"/>
      <c r="E88" s="1449"/>
      <c r="F88" s="1449"/>
      <c r="G88" s="1449"/>
      <c r="H88" s="1449"/>
      <c r="I88" s="1449"/>
      <c r="J88" s="1449"/>
      <c r="K88" s="364"/>
      <c r="L88" s="1449"/>
      <c r="M88" s="1449"/>
      <c r="N88" s="1449"/>
    </row>
    <row r="89" spans="1:14" x14ac:dyDescent="0.2">
      <c r="A89" s="1452"/>
      <c r="B89" s="1438" t="s">
        <v>86</v>
      </c>
      <c r="C89" s="1437">
        <f>SUM(C86:C87)</f>
        <v>2</v>
      </c>
      <c r="D89" s="1436" t="s">
        <v>78</v>
      </c>
      <c r="E89" s="1449"/>
      <c r="F89" s="1449"/>
      <c r="G89" s="1449"/>
      <c r="H89" s="1449"/>
      <c r="I89" s="1449"/>
      <c r="J89" s="1449"/>
      <c r="K89" s="364"/>
      <c r="L89" s="1449"/>
      <c r="M89" s="1449"/>
      <c r="N89" s="1449"/>
    </row>
    <row r="90" spans="1:14" x14ac:dyDescent="0.2">
      <c r="A90" s="1451"/>
      <c r="B90" s="1451"/>
      <c r="C90" s="1451"/>
      <c r="D90" s="1451"/>
      <c r="E90" s="1450"/>
      <c r="F90" s="1450"/>
      <c r="G90" s="1450"/>
      <c r="H90" s="1450"/>
      <c r="I90" s="1450"/>
      <c r="J90" s="1450"/>
      <c r="L90" s="1450"/>
      <c r="M90" s="1450"/>
      <c r="N90" s="1450"/>
    </row>
    <row r="91" spans="1:14" s="1409" customFormat="1" x14ac:dyDescent="0.2">
      <c r="A91" s="414" t="str">
        <f>ORÇ!A418</f>
        <v>16.9</v>
      </c>
      <c r="B91" s="1998" t="str">
        <f>ORÇ!D418</f>
        <v>BANCADA EM GRANITO PARA COPA DE  620 X 60 CM, COM CUBA DE EMBUTIR DE AÇO, VÁLVULA E SIFÃO, ENGATE FLEXÍVEL 30 CM, TORNEIRA CROMADA, DE MESA, 1/2 OU 3/4. FORNEC. E INSTALAÇÃO.</v>
      </c>
      <c r="C91" s="1998"/>
      <c r="D91" s="1998"/>
      <c r="E91" s="1998"/>
      <c r="F91" s="1998"/>
      <c r="G91" s="1998"/>
      <c r="H91" s="1998"/>
      <c r="I91" s="1998"/>
      <c r="J91" s="1998"/>
      <c r="K91" s="1998"/>
      <c r="L91" s="1998"/>
      <c r="M91" s="1998"/>
      <c r="N91" s="1998"/>
    </row>
    <row r="92" spans="1:14" x14ac:dyDescent="0.2">
      <c r="A92" s="414"/>
      <c r="B92" s="1357"/>
      <c r="C92" s="1357"/>
      <c r="D92" s="1357"/>
      <c r="E92" s="1357"/>
      <c r="F92" s="1357"/>
      <c r="G92" s="1357"/>
      <c r="H92" s="1357"/>
      <c r="I92" s="1357"/>
      <c r="J92" s="1357"/>
      <c r="K92" s="1357"/>
      <c r="L92" s="1357"/>
      <c r="M92" s="1357"/>
      <c r="N92" s="1357"/>
    </row>
    <row r="93" spans="1:14" x14ac:dyDescent="0.2">
      <c r="A93" s="1452"/>
      <c r="B93" s="1429" t="s">
        <v>224</v>
      </c>
      <c r="C93" s="1429" t="s">
        <v>35</v>
      </c>
      <c r="D93" s="1449"/>
      <c r="E93" s="1449"/>
      <c r="F93" s="1449"/>
      <c r="G93" s="1449"/>
      <c r="H93" s="1449"/>
      <c r="I93" s="1449"/>
      <c r="J93" s="1449"/>
      <c r="K93" s="364"/>
      <c r="L93" s="1449"/>
      <c r="M93" s="1449"/>
      <c r="N93" s="1449"/>
    </row>
    <row r="94" spans="1:14" x14ac:dyDescent="0.2">
      <c r="A94" s="1452"/>
      <c r="B94" s="1429" t="s">
        <v>293</v>
      </c>
      <c r="C94" s="1429">
        <v>1</v>
      </c>
      <c r="D94" s="1449"/>
      <c r="E94" s="1449"/>
      <c r="F94" s="1449"/>
      <c r="G94" s="1449"/>
      <c r="H94" s="1449"/>
      <c r="I94" s="1449"/>
      <c r="J94" s="1449"/>
      <c r="K94" s="364"/>
      <c r="L94" s="1449"/>
      <c r="M94" s="1449"/>
      <c r="N94" s="1449"/>
    </row>
    <row r="95" spans="1:14" x14ac:dyDescent="0.2">
      <c r="A95" s="1452"/>
      <c r="B95" s="1449"/>
      <c r="C95" s="1449"/>
      <c r="D95" s="1449"/>
      <c r="E95" s="1449"/>
      <c r="F95" s="1449"/>
      <c r="G95" s="1449"/>
      <c r="H95" s="1449"/>
      <c r="I95" s="1449"/>
      <c r="J95" s="1449"/>
      <c r="K95" s="364"/>
      <c r="L95" s="1449"/>
      <c r="M95" s="1449"/>
      <c r="N95" s="1449"/>
    </row>
    <row r="96" spans="1:14" x14ac:dyDescent="0.2">
      <c r="A96" s="1452"/>
      <c r="B96" s="1438" t="s">
        <v>86</v>
      </c>
      <c r="C96" s="1437">
        <f>C94</f>
        <v>1</v>
      </c>
      <c r="D96" s="1436" t="s">
        <v>78</v>
      </c>
      <c r="E96" s="1449"/>
      <c r="F96" s="1449"/>
      <c r="G96" s="1449"/>
      <c r="H96" s="1449"/>
      <c r="I96" s="1449"/>
      <c r="J96" s="1449"/>
      <c r="K96" s="364"/>
      <c r="L96" s="1449"/>
      <c r="M96" s="1449"/>
      <c r="N96" s="1449"/>
    </row>
    <row r="97" spans="1:14" x14ac:dyDescent="0.2">
      <c r="A97" s="1451"/>
      <c r="B97" s="1451"/>
      <c r="C97" s="1451"/>
      <c r="D97" s="1451"/>
      <c r="E97" s="1450"/>
      <c r="F97" s="1450"/>
      <c r="G97" s="1450"/>
      <c r="H97" s="1450"/>
      <c r="I97" s="1450"/>
      <c r="J97" s="1450"/>
      <c r="L97" s="1450"/>
      <c r="M97" s="1450"/>
      <c r="N97" s="1450"/>
    </row>
    <row r="98" spans="1:14" x14ac:dyDescent="0.2">
      <c r="A98" s="414" t="str">
        <f>ORÇ!A419</f>
        <v>16.10</v>
      </c>
      <c r="B98" s="1998" t="str">
        <f>ORÇ!D419</f>
        <v xml:space="preserve">BANCADA GRANITO CINZA POLIDO, PADRÃO POPULAR, COM RODABANCA E MÃO FRANCESA - FORNECIMENTO E INSTALAÇÃO. </v>
      </c>
      <c r="C98" s="1998"/>
      <c r="D98" s="1998"/>
      <c r="E98" s="1998"/>
      <c r="F98" s="1998"/>
      <c r="G98" s="1998"/>
      <c r="H98" s="1998"/>
      <c r="I98" s="1998"/>
      <c r="J98" s="1998"/>
      <c r="K98" s="1998"/>
      <c r="L98" s="1998"/>
      <c r="M98" s="1998"/>
      <c r="N98" s="1998"/>
    </row>
    <row r="99" spans="1:14" x14ac:dyDescent="0.2">
      <c r="A99" s="1452"/>
      <c r="B99" s="1449"/>
      <c r="C99" s="1449"/>
      <c r="D99" s="1449"/>
      <c r="E99" s="1449"/>
      <c r="F99" s="1449"/>
      <c r="G99" s="1449"/>
      <c r="H99" s="1449"/>
      <c r="I99" s="1449"/>
      <c r="J99" s="1449"/>
      <c r="K99" s="364"/>
      <c r="L99" s="1449"/>
      <c r="M99" s="1450"/>
      <c r="N99" s="1450"/>
    </row>
    <row r="100" spans="1:14" s="1409" customFormat="1" x14ac:dyDescent="0.2">
      <c r="A100" s="1443"/>
      <c r="B100" s="1429" t="s">
        <v>224</v>
      </c>
      <c r="C100" s="1429" t="s">
        <v>225</v>
      </c>
      <c r="D100" s="1429"/>
      <c r="E100" s="1429" t="s">
        <v>331</v>
      </c>
      <c r="F100" s="1429"/>
      <c r="G100" s="1429" t="s">
        <v>335</v>
      </c>
      <c r="H100" s="1453"/>
      <c r="I100" s="1453"/>
      <c r="J100" s="1453"/>
      <c r="K100" s="1421"/>
      <c r="L100" s="1453"/>
      <c r="M100" s="1456"/>
      <c r="N100" s="1456"/>
    </row>
    <row r="101" spans="1:14" s="1409" customFormat="1" x14ac:dyDescent="0.2">
      <c r="A101" s="1443"/>
      <c r="B101" s="2025" t="s">
        <v>300</v>
      </c>
      <c r="C101" s="1429">
        <v>1.33</v>
      </c>
      <c r="D101" s="1429" t="s">
        <v>71</v>
      </c>
      <c r="E101" s="1429">
        <v>0.6</v>
      </c>
      <c r="F101" s="1429" t="s">
        <v>72</v>
      </c>
      <c r="G101" s="1429">
        <f>ROUND(C101*E101,2)</f>
        <v>0.8</v>
      </c>
      <c r="H101" s="1453"/>
      <c r="I101" s="1453"/>
      <c r="J101" s="1453"/>
      <c r="K101" s="1421"/>
      <c r="L101" s="1453"/>
      <c r="M101" s="1456"/>
      <c r="N101" s="1456"/>
    </row>
    <row r="102" spans="1:14" s="1409" customFormat="1" x14ac:dyDescent="0.2">
      <c r="A102" s="1443"/>
      <c r="B102" s="2026"/>
      <c r="C102" s="1429">
        <v>2</v>
      </c>
      <c r="D102" s="1429" t="s">
        <v>71</v>
      </c>
      <c r="E102" s="1429">
        <v>0.6</v>
      </c>
      <c r="F102" s="1429" t="s">
        <v>72</v>
      </c>
      <c r="G102" s="1429">
        <f>ROUND(C102*E102,2)</f>
        <v>1.2</v>
      </c>
      <c r="H102" s="1453"/>
      <c r="I102" s="1453"/>
      <c r="J102" s="1453"/>
      <c r="K102" s="1421"/>
      <c r="L102" s="1453"/>
      <c r="M102" s="1456"/>
      <c r="N102" s="1456"/>
    </row>
    <row r="103" spans="1:14" s="1409" customFormat="1" x14ac:dyDescent="0.2">
      <c r="A103" s="1443"/>
      <c r="B103" s="2026"/>
      <c r="C103" s="1429">
        <v>2.5</v>
      </c>
      <c r="D103" s="1429" t="s">
        <v>71</v>
      </c>
      <c r="E103" s="1429">
        <v>0.6</v>
      </c>
      <c r="F103" s="1429" t="s">
        <v>72</v>
      </c>
      <c r="G103" s="1429">
        <f>ROUND(C103*E103,2)</f>
        <v>1.5</v>
      </c>
      <c r="H103" s="1453"/>
      <c r="I103" s="1453"/>
      <c r="J103" s="1453"/>
      <c r="K103" s="1421"/>
      <c r="L103" s="1453"/>
      <c r="M103" s="1456"/>
      <c r="N103" s="1456"/>
    </row>
    <row r="104" spans="1:14" s="1409" customFormat="1" x14ac:dyDescent="0.2">
      <c r="A104" s="1443"/>
      <c r="B104" s="2027"/>
      <c r="C104" s="1429">
        <v>2</v>
      </c>
      <c r="D104" s="1429" t="s">
        <v>71</v>
      </c>
      <c r="E104" s="1429">
        <v>0.6</v>
      </c>
      <c r="F104" s="1429" t="s">
        <v>72</v>
      </c>
      <c r="G104" s="1429">
        <f>ROUND(C104*E104,2)</f>
        <v>1.2</v>
      </c>
      <c r="H104" s="1453"/>
      <c r="I104" s="1453"/>
      <c r="J104" s="1453"/>
      <c r="K104" s="1421"/>
      <c r="L104" s="1453"/>
      <c r="M104" s="1456"/>
      <c r="N104" s="1456"/>
    </row>
    <row r="105" spans="1:14" x14ac:dyDescent="0.2">
      <c r="A105" s="1451"/>
      <c r="B105" s="1455"/>
      <c r="C105" s="1454"/>
      <c r="D105" s="1450"/>
      <c r="E105" s="1450"/>
      <c r="F105" s="1450"/>
      <c r="G105" s="1450"/>
      <c r="H105" s="1450"/>
      <c r="I105" s="1450"/>
      <c r="J105" s="1450"/>
      <c r="L105" s="1450"/>
      <c r="M105" s="1450"/>
      <c r="N105" s="1450"/>
    </row>
    <row r="106" spans="1:14" x14ac:dyDescent="0.2">
      <c r="A106" s="1452"/>
      <c r="B106" s="1438" t="s">
        <v>86</v>
      </c>
      <c r="C106" s="1437">
        <f>ROUND(SUM(G101:G104),2)</f>
        <v>4.7</v>
      </c>
      <c r="D106" s="1436" t="s">
        <v>6</v>
      </c>
      <c r="E106" s="1449"/>
      <c r="F106" s="1449"/>
      <c r="G106" s="1449"/>
      <c r="H106" s="1449"/>
      <c r="I106" s="1449"/>
      <c r="J106" s="1449"/>
      <c r="K106" s="364"/>
      <c r="L106" s="1449"/>
      <c r="M106" s="1450"/>
      <c r="N106" s="1450"/>
    </row>
    <row r="107" spans="1:14" x14ac:dyDescent="0.2">
      <c r="A107" s="1451"/>
      <c r="B107" s="1451"/>
      <c r="C107" s="1451"/>
      <c r="D107" s="1451"/>
      <c r="E107" s="1450"/>
      <c r="F107" s="1450"/>
      <c r="G107" s="1450"/>
      <c r="H107" s="1450"/>
      <c r="I107" s="1450"/>
      <c r="J107" s="1450"/>
      <c r="L107" s="1450"/>
      <c r="M107" s="1450"/>
      <c r="N107" s="1450"/>
    </row>
    <row r="108" spans="1:14" s="1409" customFormat="1" x14ac:dyDescent="0.2">
      <c r="A108" s="414" t="str">
        <f>ORÇ!A420</f>
        <v>16.11</v>
      </c>
      <c r="B108" s="1998" t="str">
        <f>ORÇ!D420</f>
        <v xml:space="preserve">BANCADA GRANITO CINZA POLIDO, 160X60CM PADRÃO POPULAR, COM UMA CUBAS DE EMBUTIR EM AÇO INOXIDAVEL, INCLUINDO VÁLVULA E SIFÃO TIPO GARRAFA EM METAL CROMADO - FORNECIMENTO E INSTALAÇÃO. </v>
      </c>
      <c r="C108" s="1998"/>
      <c r="D108" s="1998"/>
      <c r="E108" s="1998"/>
      <c r="F108" s="1998"/>
      <c r="G108" s="1998"/>
      <c r="H108" s="1998"/>
      <c r="I108" s="1998"/>
      <c r="J108" s="1998"/>
      <c r="K108" s="1998"/>
      <c r="L108" s="1998"/>
      <c r="M108" s="1998"/>
      <c r="N108" s="1998"/>
    </row>
    <row r="109" spans="1:14" x14ac:dyDescent="0.2">
      <c r="A109" s="1452"/>
      <c r="B109" s="1449"/>
      <c r="C109" s="1449"/>
      <c r="D109" s="1449"/>
      <c r="E109" s="1449"/>
      <c r="F109" s="1449"/>
      <c r="G109" s="1449"/>
      <c r="H109" s="1449"/>
      <c r="I109" s="1449"/>
      <c r="J109" s="1449"/>
      <c r="K109" s="364"/>
      <c r="L109" s="1449"/>
      <c r="M109" s="1449"/>
      <c r="N109" s="1449"/>
    </row>
    <row r="110" spans="1:14" x14ac:dyDescent="0.2">
      <c r="A110" s="1452"/>
      <c r="B110" s="1429" t="s">
        <v>224</v>
      </c>
      <c r="C110" s="1429" t="s">
        <v>35</v>
      </c>
      <c r="D110" s="1449"/>
      <c r="E110" s="1449"/>
      <c r="F110" s="1449"/>
      <c r="G110" s="1449"/>
      <c r="H110" s="1449"/>
      <c r="I110" s="1449"/>
      <c r="J110" s="1449"/>
      <c r="K110" s="364"/>
      <c r="L110" s="1449"/>
      <c r="M110" s="1449"/>
      <c r="N110" s="1449"/>
    </row>
    <row r="111" spans="1:14" s="1409" customFormat="1" x14ac:dyDescent="0.2">
      <c r="A111" s="1443"/>
      <c r="B111" s="1429" t="s">
        <v>300</v>
      </c>
      <c r="C111" s="1429">
        <v>1</v>
      </c>
      <c r="D111" s="1453"/>
      <c r="E111" s="1453"/>
      <c r="F111" s="1453"/>
      <c r="G111" s="1453"/>
      <c r="H111" s="1453"/>
      <c r="I111" s="1453"/>
      <c r="J111" s="1453"/>
      <c r="K111" s="1421"/>
      <c r="L111" s="1453"/>
      <c r="M111" s="1453"/>
      <c r="N111" s="1453"/>
    </row>
    <row r="112" spans="1:14" s="1409" customFormat="1" x14ac:dyDescent="0.2">
      <c r="A112" s="1443"/>
      <c r="B112" s="1429" t="s">
        <v>1445</v>
      </c>
      <c r="C112" s="1429">
        <v>1</v>
      </c>
      <c r="D112" s="1453"/>
      <c r="E112" s="1453"/>
      <c r="F112" s="1453"/>
      <c r="G112" s="1453"/>
      <c r="H112" s="1453"/>
      <c r="I112" s="1453"/>
      <c r="J112" s="1453"/>
      <c r="K112" s="1421"/>
      <c r="L112" s="1453"/>
      <c r="M112" s="1453"/>
      <c r="N112" s="1453"/>
    </row>
    <row r="113" spans="1:14" x14ac:dyDescent="0.2">
      <c r="A113" s="1452"/>
      <c r="B113" s="1449"/>
      <c r="C113" s="1449"/>
      <c r="D113" s="1449"/>
      <c r="E113" s="1449"/>
      <c r="F113" s="1449"/>
      <c r="G113" s="1449"/>
      <c r="H113" s="1449"/>
      <c r="I113" s="1449"/>
      <c r="J113" s="1449"/>
      <c r="K113" s="364"/>
      <c r="L113" s="1449"/>
      <c r="M113" s="1449"/>
      <c r="N113" s="1449"/>
    </row>
    <row r="114" spans="1:14" x14ac:dyDescent="0.2">
      <c r="A114" s="1452"/>
      <c r="B114" s="1438" t="s">
        <v>86</v>
      </c>
      <c r="C114" s="1437">
        <f>SUM(C111:C113)</f>
        <v>2</v>
      </c>
      <c r="D114" s="1436" t="s">
        <v>78</v>
      </c>
      <c r="E114" s="1449"/>
      <c r="F114" s="1449"/>
      <c r="G114" s="1449"/>
      <c r="H114" s="1449"/>
      <c r="I114" s="1449"/>
      <c r="J114" s="1449"/>
      <c r="K114" s="364"/>
      <c r="L114" s="1449"/>
      <c r="M114" s="1449"/>
      <c r="N114" s="1449"/>
    </row>
    <row r="115" spans="1:14" x14ac:dyDescent="0.2">
      <c r="A115" s="1451"/>
      <c r="B115" s="1451"/>
      <c r="C115" s="1451"/>
      <c r="D115" s="1451"/>
      <c r="E115" s="1450"/>
      <c r="F115" s="1450"/>
      <c r="G115" s="1450"/>
      <c r="H115" s="1450"/>
      <c r="I115" s="1450"/>
      <c r="J115" s="1450"/>
      <c r="L115" s="1450"/>
      <c r="M115" s="1450"/>
      <c r="N115" s="1450"/>
    </row>
    <row r="116" spans="1:14" s="1409" customFormat="1" x14ac:dyDescent="0.2">
      <c r="A116" s="414" t="str">
        <f>ORÇ!A421</f>
        <v>16.12</v>
      </c>
      <c r="B116" s="1998" t="str">
        <f>ORÇ!D421</f>
        <v>BANCADA EM AÇO INOX PARA COPA DE  235 X 60 CM, COM CUBA DE EMBUTIR DE AÇO, VÁLVULA E SIFÃO, ENGATE FLEXÍVEL 30 CM, TORNEIRA CROMADA, DE MESA, 1/2 OU 3/4. FORNEC. E INSTALAÇÃO.</v>
      </c>
      <c r="C116" s="1998"/>
      <c r="D116" s="1998"/>
      <c r="E116" s="1998"/>
      <c r="F116" s="1998"/>
      <c r="G116" s="1998"/>
      <c r="H116" s="1998"/>
      <c r="I116" s="1998"/>
      <c r="J116" s="1998"/>
      <c r="K116" s="1998"/>
      <c r="L116" s="1998"/>
      <c r="M116" s="1998"/>
      <c r="N116" s="1998"/>
    </row>
    <row r="117" spans="1:14" x14ac:dyDescent="0.2">
      <c r="A117" s="1452"/>
      <c r="B117" s="1449"/>
      <c r="C117" s="1449"/>
      <c r="D117" s="1449"/>
      <c r="E117" s="1449"/>
      <c r="F117" s="1449"/>
      <c r="G117" s="1449"/>
      <c r="H117" s="1449"/>
      <c r="I117" s="1449"/>
      <c r="J117" s="1449"/>
      <c r="K117" s="364"/>
      <c r="L117" s="1449"/>
      <c r="M117" s="1449"/>
      <c r="N117" s="1449"/>
    </row>
    <row r="118" spans="1:14" x14ac:dyDescent="0.2">
      <c r="A118" s="1452"/>
      <c r="B118" s="1429" t="s">
        <v>224</v>
      </c>
      <c r="C118" s="1429" t="s">
        <v>35</v>
      </c>
      <c r="D118" s="1449"/>
      <c r="E118" s="1449"/>
      <c r="F118" s="1449"/>
      <c r="G118" s="1449"/>
      <c r="H118" s="1449"/>
      <c r="I118" s="1449"/>
      <c r="J118" s="1449"/>
      <c r="K118" s="364"/>
      <c r="L118" s="1449"/>
      <c r="M118" s="1449"/>
      <c r="N118" s="1449"/>
    </row>
    <row r="119" spans="1:14" x14ac:dyDescent="0.2">
      <c r="A119" s="1452"/>
      <c r="B119" s="1429" t="s">
        <v>581</v>
      </c>
      <c r="C119" s="1429">
        <v>1</v>
      </c>
      <c r="D119" s="1449"/>
      <c r="E119" s="1449"/>
      <c r="F119" s="1449"/>
      <c r="G119" s="1449"/>
      <c r="H119" s="1449"/>
      <c r="I119" s="1449"/>
      <c r="J119" s="1449"/>
      <c r="K119" s="364"/>
      <c r="L119" s="1449"/>
      <c r="M119" s="1449"/>
      <c r="N119" s="1449"/>
    </row>
    <row r="120" spans="1:14" x14ac:dyDescent="0.2">
      <c r="A120" s="1452"/>
      <c r="B120" s="1449"/>
      <c r="C120" s="1449"/>
      <c r="D120" s="1449"/>
      <c r="E120" s="1449"/>
      <c r="F120" s="1449"/>
      <c r="G120" s="1449"/>
      <c r="H120" s="1449"/>
      <c r="I120" s="1449"/>
      <c r="J120" s="1449"/>
      <c r="K120" s="364"/>
      <c r="L120" s="1449"/>
      <c r="M120" s="1449"/>
      <c r="N120" s="1449"/>
    </row>
    <row r="121" spans="1:14" x14ac:dyDescent="0.2">
      <c r="A121" s="1452"/>
      <c r="B121" s="1438" t="s">
        <v>86</v>
      </c>
      <c r="C121" s="1437">
        <f>SUM(C119:C119)</f>
        <v>1</v>
      </c>
      <c r="D121" s="1436" t="s">
        <v>78</v>
      </c>
      <c r="E121" s="1449"/>
      <c r="F121" s="1449"/>
      <c r="G121" s="1449"/>
      <c r="H121" s="1449"/>
      <c r="I121" s="1449"/>
      <c r="J121" s="1449"/>
      <c r="K121" s="364"/>
      <c r="L121" s="1449"/>
      <c r="M121" s="1449"/>
      <c r="N121" s="1449"/>
    </row>
    <row r="122" spans="1:14" x14ac:dyDescent="0.2">
      <c r="A122" s="1451"/>
      <c r="B122" s="1451"/>
      <c r="C122" s="1451"/>
      <c r="D122" s="1451"/>
      <c r="E122" s="1450"/>
      <c r="F122" s="1450"/>
      <c r="G122" s="1450"/>
      <c r="H122" s="1450"/>
      <c r="I122" s="1450"/>
      <c r="J122" s="1450"/>
      <c r="L122" s="1450"/>
      <c r="M122" s="1450"/>
      <c r="N122" s="1450"/>
    </row>
    <row r="123" spans="1:14" x14ac:dyDescent="0.2">
      <c r="A123" s="414" t="str">
        <f>ORÇ!A422</f>
        <v>16.13</v>
      </c>
      <c r="B123" s="1998" t="str">
        <f>ORÇ!D422</f>
        <v>Bebedouro aço inox c/4 torneiras e filtro (det.5)</v>
      </c>
      <c r="C123" s="1998"/>
      <c r="D123" s="1998"/>
      <c r="E123" s="1998"/>
      <c r="F123" s="1998"/>
      <c r="G123" s="1998"/>
      <c r="H123" s="1998"/>
      <c r="I123" s="1998"/>
      <c r="J123" s="1998"/>
      <c r="K123" s="1998"/>
      <c r="L123" s="1998"/>
      <c r="M123" s="1998"/>
      <c r="N123" s="1998"/>
    </row>
    <row r="124" spans="1:14" x14ac:dyDescent="0.2">
      <c r="A124" s="1452"/>
      <c r="B124" s="1449"/>
      <c r="C124" s="1449"/>
      <c r="D124" s="1449"/>
      <c r="E124" s="1449"/>
      <c r="F124" s="1449"/>
      <c r="G124" s="1449"/>
      <c r="H124" s="1449"/>
      <c r="I124" s="1449"/>
      <c r="J124" s="1449"/>
      <c r="K124" s="364"/>
      <c r="L124" s="1449"/>
      <c r="M124" s="1449"/>
      <c r="N124" s="1449"/>
    </row>
    <row r="125" spans="1:14" x14ac:dyDescent="0.2">
      <c r="A125" s="1452"/>
      <c r="B125" s="1449" t="s">
        <v>298</v>
      </c>
      <c r="C125" s="1449"/>
      <c r="D125" s="1449"/>
      <c r="E125" s="1449"/>
      <c r="F125" s="1449"/>
      <c r="G125" s="1449"/>
      <c r="H125" s="1449"/>
      <c r="I125" s="1449"/>
      <c r="J125" s="1449"/>
      <c r="K125" s="364"/>
      <c r="L125" s="1449"/>
      <c r="M125" s="1449"/>
      <c r="N125" s="1449"/>
    </row>
    <row r="126" spans="1:14" x14ac:dyDescent="0.2">
      <c r="A126" s="1452"/>
      <c r="B126" s="1438" t="s">
        <v>86</v>
      </c>
      <c r="C126" s="1437">
        <v>1</v>
      </c>
      <c r="D126" s="1436" t="s">
        <v>78</v>
      </c>
      <c r="E126" s="1449"/>
      <c r="F126" s="1449"/>
      <c r="G126" s="1449"/>
      <c r="H126" s="1449"/>
      <c r="I126" s="1449"/>
      <c r="J126" s="1449"/>
      <c r="K126" s="364"/>
      <c r="L126" s="1449"/>
      <c r="M126" s="1449"/>
      <c r="N126" s="1449"/>
    </row>
    <row r="127" spans="1:14" x14ac:dyDescent="0.2">
      <c r="A127" s="1451"/>
      <c r="B127" s="1451"/>
      <c r="C127" s="1451"/>
      <c r="D127" s="1451"/>
      <c r="E127" s="1450"/>
      <c r="F127" s="1450"/>
      <c r="G127" s="1450"/>
      <c r="H127" s="1450"/>
      <c r="I127" s="1450"/>
      <c r="J127" s="1450"/>
      <c r="L127" s="1450"/>
      <c r="M127" s="1450"/>
      <c r="N127" s="1450"/>
    </row>
    <row r="128" spans="1:14" x14ac:dyDescent="0.2">
      <c r="A128" s="414" t="str">
        <f>ORÇ!A423</f>
        <v>16.14</v>
      </c>
      <c r="B128" s="1998" t="str">
        <f>ORÇ!D423</f>
        <v>TORNEIRA CROMADA LONGA, DE PAREDE, 1/2 OU 3/4, PARA PIA DE COZINHA, PADRÃO POPULAR - FORNECIMENTO E INSTALAÇÃO. AF_01/2020</v>
      </c>
      <c r="C128" s="1998"/>
      <c r="D128" s="1998"/>
      <c r="E128" s="1998"/>
      <c r="F128" s="1998"/>
      <c r="G128" s="1998"/>
      <c r="H128" s="1998"/>
      <c r="I128" s="1998"/>
      <c r="J128" s="1998"/>
      <c r="K128" s="1998"/>
      <c r="L128" s="1998"/>
      <c r="M128" s="1998"/>
      <c r="N128" s="1998"/>
    </row>
    <row r="129" spans="1:14" x14ac:dyDescent="0.2">
      <c r="A129" s="1452"/>
      <c r="B129" s="1449"/>
      <c r="C129" s="1449"/>
      <c r="D129" s="1449"/>
      <c r="E129" s="1449"/>
      <c r="F129" s="1449"/>
      <c r="G129" s="1449"/>
      <c r="H129" s="1449"/>
      <c r="I129" s="1449"/>
      <c r="J129" s="1449"/>
      <c r="K129" s="364"/>
      <c r="L129" s="1449"/>
      <c r="M129" s="1449"/>
      <c r="N129" s="1449"/>
    </row>
    <row r="130" spans="1:14" x14ac:dyDescent="0.2">
      <c r="A130" s="1452"/>
      <c r="B130" s="1429" t="s">
        <v>224</v>
      </c>
      <c r="C130" s="1429" t="s">
        <v>35</v>
      </c>
      <c r="D130" s="1449"/>
      <c r="E130" s="1449"/>
      <c r="F130" s="1449"/>
      <c r="G130" s="1449"/>
      <c r="H130" s="1449"/>
      <c r="I130" s="1449"/>
      <c r="J130" s="1449"/>
      <c r="K130" s="364"/>
      <c r="L130" s="1449"/>
      <c r="M130" s="1449"/>
      <c r="N130" s="1449"/>
    </row>
    <row r="131" spans="1:14" s="1409" customFormat="1" x14ac:dyDescent="0.2">
      <c r="A131" s="1443"/>
      <c r="B131" s="1429" t="s">
        <v>293</v>
      </c>
      <c r="C131" s="1429">
        <v>1</v>
      </c>
      <c r="D131" s="1453"/>
      <c r="E131" s="1453"/>
      <c r="F131" s="1453"/>
      <c r="G131" s="1453"/>
      <c r="H131" s="1453"/>
      <c r="I131" s="1453"/>
      <c r="J131" s="1453"/>
      <c r="K131" s="1421"/>
      <c r="L131" s="1453"/>
      <c r="M131" s="1453"/>
      <c r="N131" s="1453"/>
    </row>
    <row r="132" spans="1:14" s="1409" customFormat="1" x14ac:dyDescent="0.2">
      <c r="A132" s="1443"/>
      <c r="B132" s="1429" t="s">
        <v>300</v>
      </c>
      <c r="C132" s="1429">
        <v>6</v>
      </c>
      <c r="D132" s="1453"/>
      <c r="E132" s="1453"/>
      <c r="F132" s="1453"/>
      <c r="G132" s="1453"/>
      <c r="H132" s="1453"/>
      <c r="I132" s="1453"/>
      <c r="J132" s="1453"/>
      <c r="K132" s="1421"/>
      <c r="L132" s="1453"/>
      <c r="M132" s="1453"/>
      <c r="N132" s="1453"/>
    </row>
    <row r="133" spans="1:14" s="1409" customFormat="1" x14ac:dyDescent="0.2">
      <c r="A133" s="1443"/>
      <c r="B133" s="1429" t="s">
        <v>1445</v>
      </c>
      <c r="C133" s="1429">
        <v>1</v>
      </c>
      <c r="D133" s="1453"/>
      <c r="E133" s="1453"/>
      <c r="F133" s="1453"/>
      <c r="G133" s="1453"/>
      <c r="H133" s="1453"/>
      <c r="I133" s="1453"/>
      <c r="J133" s="1453"/>
      <c r="K133" s="1421"/>
      <c r="L133" s="1453"/>
      <c r="M133" s="1453"/>
      <c r="N133" s="1453"/>
    </row>
    <row r="134" spans="1:14" x14ac:dyDescent="0.2">
      <c r="A134" s="1452"/>
      <c r="B134" s="1449"/>
      <c r="C134" s="1449"/>
      <c r="D134" s="1449"/>
      <c r="E134" s="1449"/>
      <c r="F134" s="1449"/>
      <c r="G134" s="1449"/>
      <c r="H134" s="1449"/>
      <c r="I134" s="1449"/>
      <c r="J134" s="1449"/>
      <c r="K134" s="364"/>
      <c r="L134" s="1449"/>
      <c r="M134" s="1449"/>
      <c r="N134" s="1449"/>
    </row>
    <row r="135" spans="1:14" x14ac:dyDescent="0.2">
      <c r="A135" s="1452"/>
      <c r="B135" s="1438" t="s">
        <v>86</v>
      </c>
      <c r="C135" s="1437">
        <f>SUM(C131:C134)</f>
        <v>8</v>
      </c>
      <c r="D135" s="1436" t="s">
        <v>78</v>
      </c>
      <c r="E135" s="1449"/>
      <c r="F135" s="1449"/>
      <c r="G135" s="1449"/>
      <c r="H135" s="1449"/>
      <c r="I135" s="1449"/>
      <c r="J135" s="1449"/>
      <c r="K135" s="364"/>
      <c r="L135" s="1449"/>
      <c r="M135" s="1449"/>
      <c r="N135" s="1449"/>
    </row>
    <row r="136" spans="1:14" x14ac:dyDescent="0.2">
      <c r="A136" s="1451"/>
      <c r="B136" s="1451"/>
      <c r="C136" s="1451"/>
      <c r="D136" s="1451"/>
      <c r="E136" s="1450"/>
      <c r="F136" s="1450"/>
      <c r="G136" s="1450"/>
      <c r="H136" s="1450"/>
      <c r="I136" s="1450"/>
      <c r="J136" s="1450"/>
      <c r="L136" s="1450"/>
      <c r="M136" s="1450"/>
      <c r="N136" s="1450"/>
    </row>
    <row r="137" spans="1:14" x14ac:dyDescent="0.2">
      <c r="A137" s="414" t="str">
        <f>ORÇ!A424</f>
        <v>16.15</v>
      </c>
      <c r="B137" s="1998" t="str">
        <f>ORÇ!D424</f>
        <v>BANCADA GRANITO CINZA  150 X 60 CM, COM CUBA DE EMBUTIR DE AÇO, VÁLVULA AMERICANA EM METAL, SIFÃO FLEXÍVEL EM PVC, ENGATE FLEXÍVEL 30 CM, TORNEIRA CROMADA LONGA, DE PAREDE, 1/2 OU 3/4, P/ COZINHA, PADRÃO POPULAR - FORNEC. E INSTALAÇÃO. AF_01/2020</v>
      </c>
      <c r="C137" s="1998"/>
      <c r="D137" s="1998"/>
      <c r="E137" s="1998"/>
      <c r="F137" s="1998"/>
      <c r="G137" s="1998"/>
      <c r="H137" s="1998"/>
      <c r="I137" s="1998"/>
      <c r="J137" s="1998"/>
      <c r="K137" s="1998"/>
      <c r="L137" s="1998"/>
      <c r="M137" s="1998"/>
      <c r="N137" s="1998"/>
    </row>
    <row r="138" spans="1:14" x14ac:dyDescent="0.2">
      <c r="A138" s="1452"/>
      <c r="B138" s="1449"/>
      <c r="C138" s="1449"/>
      <c r="D138" s="1449"/>
      <c r="E138" s="1449"/>
      <c r="F138" s="1449"/>
      <c r="G138" s="1449"/>
      <c r="H138" s="1449"/>
      <c r="I138" s="1449"/>
      <c r="J138" s="1449"/>
      <c r="K138" s="364"/>
      <c r="L138" s="1449"/>
      <c r="M138" s="1449"/>
      <c r="N138" s="1449"/>
    </row>
    <row r="139" spans="1:14" x14ac:dyDescent="0.2">
      <c r="A139" s="1452"/>
      <c r="B139" s="2023" t="s">
        <v>415</v>
      </c>
      <c r="C139" s="2023"/>
      <c r="D139" s="1449"/>
      <c r="E139" s="1449"/>
      <c r="F139" s="1449"/>
      <c r="G139" s="1449"/>
      <c r="H139" s="1449"/>
      <c r="I139" s="1449"/>
      <c r="J139" s="1449"/>
      <c r="K139" s="364"/>
      <c r="L139" s="1449"/>
      <c r="M139" s="1449"/>
      <c r="N139" s="1449"/>
    </row>
    <row r="140" spans="1:14" x14ac:dyDescent="0.2">
      <c r="A140" s="1452"/>
      <c r="B140" s="1429" t="s">
        <v>224</v>
      </c>
      <c r="C140" s="1429" t="s">
        <v>35</v>
      </c>
      <c r="D140" s="1449"/>
      <c r="E140" s="1449"/>
      <c r="F140" s="1449"/>
      <c r="G140" s="1449"/>
      <c r="H140" s="1449"/>
      <c r="I140" s="1449"/>
      <c r="J140" s="1449"/>
      <c r="K140" s="364"/>
      <c r="L140" s="1449"/>
      <c r="M140" s="1449"/>
      <c r="N140" s="1449"/>
    </row>
    <row r="141" spans="1:14" x14ac:dyDescent="0.2">
      <c r="A141" s="1452"/>
      <c r="B141" s="1429" t="s">
        <v>300</v>
      </c>
      <c r="C141" s="1429">
        <v>4</v>
      </c>
      <c r="D141" s="1449"/>
      <c r="E141" s="1449"/>
      <c r="F141" s="1449"/>
      <c r="G141" s="1449"/>
      <c r="H141" s="1449"/>
      <c r="I141" s="1449"/>
      <c r="J141" s="1449"/>
      <c r="K141" s="364"/>
      <c r="L141" s="1449"/>
      <c r="M141" s="1449"/>
      <c r="N141" s="1449"/>
    </row>
    <row r="142" spans="1:14" x14ac:dyDescent="0.2">
      <c r="A142" s="1452"/>
      <c r="B142" s="1449"/>
      <c r="C142" s="1449"/>
      <c r="D142" s="1449"/>
      <c r="E142" s="1449"/>
      <c r="F142" s="1449"/>
      <c r="G142" s="1449"/>
      <c r="H142" s="1449"/>
      <c r="I142" s="1449"/>
      <c r="J142" s="1449"/>
      <c r="K142" s="364"/>
      <c r="L142" s="1449"/>
      <c r="M142" s="1449"/>
      <c r="N142" s="1449"/>
    </row>
    <row r="143" spans="1:14" x14ac:dyDescent="0.2">
      <c r="A143" s="1452"/>
      <c r="B143" s="1438" t="s">
        <v>86</v>
      </c>
      <c r="C143" s="1437">
        <f>SUM(C141:C141)</f>
        <v>4</v>
      </c>
      <c r="D143" s="1436" t="s">
        <v>78</v>
      </c>
      <c r="E143" s="1449"/>
      <c r="F143" s="1449"/>
      <c r="G143" s="1449"/>
      <c r="H143" s="1449"/>
      <c r="I143" s="1449"/>
      <c r="J143" s="1449"/>
      <c r="K143" s="364"/>
      <c r="L143" s="1449"/>
      <c r="M143" s="1449"/>
      <c r="N143" s="1449"/>
    </row>
    <row r="144" spans="1:14" x14ac:dyDescent="0.2">
      <c r="A144" s="1451"/>
      <c r="B144" s="1451"/>
      <c r="C144" s="1451"/>
      <c r="D144" s="1451"/>
      <c r="E144" s="1450"/>
      <c r="F144" s="1450"/>
      <c r="G144" s="1450"/>
      <c r="H144" s="1450"/>
      <c r="I144" s="1450"/>
      <c r="J144" s="1450"/>
      <c r="L144" s="1450"/>
      <c r="M144" s="1450"/>
      <c r="N144" s="1450"/>
    </row>
    <row r="145" spans="1:14" s="1409" customFormat="1" x14ac:dyDescent="0.2">
      <c r="A145" s="414" t="str">
        <f>ORÇ!A425</f>
        <v>16.16</v>
      </c>
      <c r="B145" s="1998" t="str">
        <f>ORÇ!D425</f>
        <v>PAPELEIRA DE PAREDE EM METAL CROMADO SEM TAMPA, INCLUSO FIXAÇÃO. AF_01/2020</v>
      </c>
      <c r="C145" s="1998"/>
      <c r="D145" s="1998"/>
      <c r="E145" s="1998"/>
      <c r="F145" s="1998"/>
      <c r="G145" s="1998"/>
      <c r="H145" s="1998"/>
      <c r="I145" s="1998"/>
      <c r="J145" s="1998"/>
      <c r="K145" s="1998"/>
      <c r="L145" s="1998"/>
      <c r="M145" s="1998"/>
      <c r="N145" s="1998"/>
    </row>
    <row r="147" spans="1:14" x14ac:dyDescent="0.2">
      <c r="B147" s="351" t="s">
        <v>1444</v>
      </c>
    </row>
    <row r="148" spans="1:14" x14ac:dyDescent="0.2">
      <c r="B148" s="1438" t="s">
        <v>86</v>
      </c>
      <c r="C148" s="1437">
        <f>C42</f>
        <v>16</v>
      </c>
      <c r="D148" s="1436" t="s">
        <v>78</v>
      </c>
    </row>
    <row r="149" spans="1:14" x14ac:dyDescent="0.2">
      <c r="B149" s="411"/>
      <c r="C149" s="1449"/>
      <c r="D149" s="1449"/>
    </row>
    <row r="150" spans="1:14" x14ac:dyDescent="0.2">
      <c r="A150" s="414" t="str">
        <f>ORÇ!A426</f>
        <v>16.17</v>
      </c>
      <c r="B150" s="1998" t="str">
        <f>ORÇ!D426</f>
        <v>SABONETEIRA PLASTICA TIPO DISPENSER PARA SABONETE LIQUIDO COM RESERVATORIO 800 A 1500 ML, INCLUSO FIXAÇÃO. AF_01/2020</v>
      </c>
      <c r="C150" s="1998"/>
      <c r="D150" s="1998"/>
      <c r="E150" s="1998"/>
      <c r="F150" s="1998"/>
      <c r="G150" s="1998"/>
      <c r="H150" s="1998"/>
      <c r="I150" s="1998"/>
      <c r="J150" s="1998"/>
      <c r="K150" s="1998"/>
      <c r="L150" s="1998"/>
      <c r="M150" s="1360"/>
      <c r="N150" s="1360"/>
    </row>
    <row r="152" spans="1:14" x14ac:dyDescent="0.2">
      <c r="B152" s="1274" t="s">
        <v>224</v>
      </c>
      <c r="C152" s="1274" t="s">
        <v>1440</v>
      </c>
    </row>
    <row r="153" spans="1:14" x14ac:dyDescent="0.2">
      <c r="B153" s="1444" t="s">
        <v>1439</v>
      </c>
      <c r="C153" s="1275">
        <v>2</v>
      </c>
    </row>
    <row r="154" spans="1:14" x14ac:dyDescent="0.2">
      <c r="B154" s="1444" t="s">
        <v>1438</v>
      </c>
      <c r="C154" s="1275">
        <v>2</v>
      </c>
    </row>
    <row r="155" spans="1:14" x14ac:dyDescent="0.2">
      <c r="B155" s="1444" t="s">
        <v>1437</v>
      </c>
      <c r="C155" s="1275">
        <v>2</v>
      </c>
    </row>
    <row r="156" spans="1:14" x14ac:dyDescent="0.2">
      <c r="B156" s="1444" t="s">
        <v>298</v>
      </c>
      <c r="C156" s="1275">
        <v>1</v>
      </c>
    </row>
    <row r="157" spans="1:14" x14ac:dyDescent="0.2">
      <c r="B157" s="1444" t="s">
        <v>1436</v>
      </c>
      <c r="C157" s="1275">
        <v>1</v>
      </c>
    </row>
    <row r="158" spans="1:14" x14ac:dyDescent="0.2">
      <c r="B158" s="1444" t="s">
        <v>1435</v>
      </c>
      <c r="C158" s="1275">
        <v>1</v>
      </c>
    </row>
    <row r="159" spans="1:14" ht="25.5" x14ac:dyDescent="0.2">
      <c r="B159" s="1445" t="s">
        <v>299</v>
      </c>
      <c r="C159" s="1275">
        <v>1</v>
      </c>
    </row>
    <row r="160" spans="1:14" x14ac:dyDescent="0.2">
      <c r="B160" s="1444" t="s">
        <v>1434</v>
      </c>
      <c r="C160" s="1275">
        <v>1</v>
      </c>
    </row>
    <row r="161" spans="1:14" x14ac:dyDescent="0.2">
      <c r="B161" s="1444" t="s">
        <v>1433</v>
      </c>
      <c r="C161" s="1275">
        <v>1</v>
      </c>
    </row>
    <row r="163" spans="1:14" x14ac:dyDescent="0.2">
      <c r="B163" s="1438" t="s">
        <v>86</v>
      </c>
      <c r="C163" s="1437">
        <f>SUM(C153:C161)</f>
        <v>12</v>
      </c>
      <c r="D163" s="1436" t="s">
        <v>78</v>
      </c>
    </row>
    <row r="165" spans="1:14" x14ac:dyDescent="0.2">
      <c r="A165" s="414" t="str">
        <f>ORÇ!A427</f>
        <v>16.18</v>
      </c>
      <c r="B165" s="415" t="str">
        <f>ORÇ!D427</f>
        <v>TOALHEIRO PLASTICO TIPO DISPENSER PARA PAPEL TOALHA INTERFOLHADO. FORNECIMENTO E INSTALAÇÃO</v>
      </c>
      <c r="C165" s="1439"/>
    </row>
    <row r="166" spans="1:14" x14ac:dyDescent="0.2">
      <c r="A166" s="414"/>
      <c r="B166" s="415"/>
      <c r="C166" s="1439"/>
    </row>
    <row r="167" spans="1:14" x14ac:dyDescent="0.2">
      <c r="A167" s="414"/>
      <c r="B167" s="1442" t="s">
        <v>1443</v>
      </c>
      <c r="C167" s="1439"/>
    </row>
    <row r="168" spans="1:14" x14ac:dyDescent="0.2">
      <c r="A168" s="414"/>
      <c r="B168" s="1438" t="s">
        <v>86</v>
      </c>
      <c r="C168" s="1437">
        <v>29</v>
      </c>
      <c r="D168" s="1436" t="s">
        <v>78</v>
      </c>
    </row>
    <row r="169" spans="1:14" x14ac:dyDescent="0.2">
      <c r="A169" s="414"/>
      <c r="B169" s="415"/>
      <c r="C169" s="1439"/>
    </row>
    <row r="170" spans="1:14" x14ac:dyDescent="0.2">
      <c r="A170" s="414" t="str">
        <f>ORÇ!A428</f>
        <v>16.19</v>
      </c>
      <c r="B170" s="1998" t="str">
        <f>ORÇ!D428</f>
        <v>BARRA DE APOIO RETA, EM ACO INOX POLIDO, COMPRIMENTO 80 CM,  FIXADA NA PAREDE - FORNECIMENTO E INSTALAÇÃO. AF_01/2020</v>
      </c>
      <c r="C170" s="1998"/>
      <c r="D170" s="1998"/>
      <c r="E170" s="1998"/>
      <c r="F170" s="1998"/>
      <c r="G170" s="1998"/>
      <c r="H170" s="1998"/>
      <c r="I170" s="1998"/>
      <c r="J170" s="1998"/>
      <c r="K170" s="1998"/>
      <c r="L170" s="1998"/>
      <c r="M170" s="1998"/>
      <c r="N170" s="1998"/>
    </row>
    <row r="171" spans="1:14" x14ac:dyDescent="0.2">
      <c r="A171" s="414"/>
      <c r="B171" s="415"/>
      <c r="C171" s="1439"/>
    </row>
    <row r="172" spans="1:14" x14ac:dyDescent="0.2">
      <c r="A172" s="414"/>
      <c r="B172" s="1442" t="s">
        <v>1442</v>
      </c>
      <c r="C172" s="1439"/>
    </row>
    <row r="173" spans="1:14" s="356" customFormat="1" x14ac:dyDescent="0.2">
      <c r="A173" s="414"/>
      <c r="B173" s="1448" t="s">
        <v>224</v>
      </c>
      <c r="C173" s="1447" t="s">
        <v>1440</v>
      </c>
    </row>
    <row r="174" spans="1:14" x14ac:dyDescent="0.2">
      <c r="A174" s="414"/>
      <c r="B174" s="1444" t="s">
        <v>1439</v>
      </c>
      <c r="C174" s="1446">
        <v>4</v>
      </c>
    </row>
    <row r="175" spans="1:14" x14ac:dyDescent="0.2">
      <c r="A175" s="414"/>
      <c r="B175" s="1444" t="s">
        <v>1438</v>
      </c>
      <c r="C175" s="1446">
        <v>2</v>
      </c>
    </row>
    <row r="176" spans="1:14" x14ac:dyDescent="0.2">
      <c r="A176" s="414"/>
      <c r="B176" s="1444" t="s">
        <v>1437</v>
      </c>
      <c r="C176" s="1446">
        <v>2</v>
      </c>
    </row>
    <row r="177" spans="1:14" x14ac:dyDescent="0.2">
      <c r="A177" s="414"/>
      <c r="B177" s="415"/>
      <c r="C177" s="1439"/>
    </row>
    <row r="178" spans="1:14" x14ac:dyDescent="0.2">
      <c r="A178" s="414"/>
      <c r="B178" s="1438" t="s">
        <v>86</v>
      </c>
      <c r="C178" s="1437">
        <f>SUM(C174:C177)</f>
        <v>8</v>
      </c>
      <c r="D178" s="1436" t="s">
        <v>78</v>
      </c>
    </row>
    <row r="179" spans="1:14" x14ac:dyDescent="0.2">
      <c r="A179" s="414"/>
      <c r="B179" s="415"/>
      <c r="C179" s="1439"/>
    </row>
    <row r="180" spans="1:14" x14ac:dyDescent="0.2">
      <c r="A180" s="414" t="str">
        <f>ORÇ!A429</f>
        <v>16.20</v>
      </c>
      <c r="B180" s="1998" t="str">
        <f>ORÇ!D429</f>
        <v>BARRA DE APOIO RETA, EM ACO INOX POLIDO, COMPRIMENTO 60CM, FIXADA NA PAREDE - FORNECIMENTO E INSTALAÇÃO. AF_01/2020</v>
      </c>
      <c r="C180" s="1998"/>
      <c r="D180" s="1998"/>
      <c r="E180" s="1998"/>
      <c r="F180" s="1998"/>
      <c r="G180" s="1998"/>
      <c r="H180" s="1998"/>
      <c r="I180" s="1998"/>
      <c r="J180" s="1998"/>
      <c r="K180" s="1998"/>
      <c r="L180" s="1998"/>
      <c r="M180" s="1998"/>
      <c r="N180" s="1998"/>
    </row>
    <row r="181" spans="1:14" x14ac:dyDescent="0.2">
      <c r="A181" s="414"/>
      <c r="B181" s="415"/>
      <c r="C181" s="1439"/>
    </row>
    <row r="182" spans="1:14" x14ac:dyDescent="0.2">
      <c r="A182" s="414"/>
      <c r="B182" s="1442" t="s">
        <v>1441</v>
      </c>
      <c r="C182" s="1439"/>
    </row>
    <row r="183" spans="1:14" s="356" customFormat="1" x14ac:dyDescent="0.2">
      <c r="A183" s="414"/>
      <c r="B183" s="1448" t="s">
        <v>224</v>
      </c>
      <c r="C183" s="1447" t="s">
        <v>1440</v>
      </c>
    </row>
    <row r="184" spans="1:14" x14ac:dyDescent="0.2">
      <c r="A184" s="414"/>
      <c r="B184" s="1444" t="s">
        <v>1439</v>
      </c>
      <c r="C184" s="1446">
        <v>2</v>
      </c>
    </row>
    <row r="185" spans="1:14" x14ac:dyDescent="0.2">
      <c r="A185" s="414"/>
      <c r="B185" s="415"/>
      <c r="C185" s="1439"/>
    </row>
    <row r="186" spans="1:14" x14ac:dyDescent="0.2">
      <c r="A186" s="414"/>
      <c r="B186" s="1438" t="s">
        <v>86</v>
      </c>
      <c r="C186" s="1437">
        <f>SUM(C184:C185)</f>
        <v>2</v>
      </c>
      <c r="D186" s="1436" t="s">
        <v>78</v>
      </c>
    </row>
    <row r="187" spans="1:14" x14ac:dyDescent="0.2">
      <c r="A187" s="414"/>
      <c r="B187" s="415"/>
      <c r="C187" s="1439"/>
    </row>
    <row r="188" spans="1:14" x14ac:dyDescent="0.2">
      <c r="A188" s="414" t="str">
        <f>ORÇ!A430</f>
        <v>16.21</v>
      </c>
      <c r="B188" s="1998" t="str">
        <f>ORÇ!D430</f>
        <v>BARRA DE APOIO LATERAL ARTICULADA, COM TRAVA, EM ACO INOX POLIDO, FIXADA NA PAREDE - FORNECIMENTO E INSTALAÇÃO. AF_01/2020</v>
      </c>
      <c r="C188" s="1998"/>
      <c r="D188" s="1998"/>
      <c r="E188" s="1998"/>
      <c r="F188" s="1998"/>
      <c r="G188" s="1998"/>
      <c r="H188" s="1998"/>
      <c r="I188" s="1998"/>
      <c r="J188" s="1998"/>
      <c r="K188" s="1998"/>
      <c r="L188" s="1998"/>
      <c r="M188" s="1998"/>
    </row>
    <row r="189" spans="1:14" x14ac:dyDescent="0.2">
      <c r="A189" s="414"/>
      <c r="B189" s="1442"/>
      <c r="C189" s="1439"/>
    </row>
    <row r="190" spans="1:14" x14ac:dyDescent="0.2">
      <c r="A190" s="414"/>
      <c r="B190" s="1442" t="s">
        <v>1439</v>
      </c>
      <c r="C190" s="1439"/>
    </row>
    <row r="191" spans="1:14" x14ac:dyDescent="0.2">
      <c r="A191" s="414"/>
      <c r="B191" s="1438" t="s">
        <v>86</v>
      </c>
      <c r="C191" s="1437">
        <v>4</v>
      </c>
      <c r="D191" s="1436" t="s">
        <v>78</v>
      </c>
    </row>
    <row r="192" spans="1:14" x14ac:dyDescent="0.2">
      <c r="A192" s="414"/>
      <c r="B192" s="415"/>
      <c r="C192" s="1439"/>
    </row>
    <row r="193" spans="1:13" x14ac:dyDescent="0.2">
      <c r="A193" s="414" t="str">
        <f>ORÇ!A431</f>
        <v>16.22</v>
      </c>
      <c r="B193" s="1998" t="str">
        <f>ORÇ!D431</f>
        <v>CUBA DE EMBUTIR DE AÇO INOXIDÁVEL MÉDIA, INCLUSO VÁLVULA TIPO AMERICANA EM METAL CROMADO E SIFÃO FLEXÍVEL EM PVC - FORNECIMENTO E INSTALAÇÃO. AF_01/2020</v>
      </c>
      <c r="C193" s="1998"/>
      <c r="D193" s="1998"/>
      <c r="E193" s="1998"/>
      <c r="F193" s="1998"/>
      <c r="G193" s="1998"/>
      <c r="H193" s="1998"/>
      <c r="I193" s="1998"/>
      <c r="J193" s="1998"/>
      <c r="K193" s="1998"/>
      <c r="L193" s="1998"/>
      <c r="M193" s="1998"/>
    </row>
    <row r="194" spans="1:13" x14ac:dyDescent="0.2">
      <c r="A194" s="414"/>
      <c r="B194" s="1360"/>
      <c r="C194" s="1360"/>
      <c r="D194" s="1360"/>
      <c r="E194" s="1360"/>
      <c r="F194" s="1360"/>
      <c r="G194" s="1360"/>
      <c r="H194" s="1360"/>
      <c r="I194" s="1360"/>
      <c r="J194" s="1360"/>
      <c r="K194" s="1360"/>
      <c r="L194" s="1360"/>
      <c r="M194" s="1360"/>
    </row>
    <row r="195" spans="1:13" s="356" customFormat="1" x14ac:dyDescent="0.2">
      <c r="A195" s="414"/>
      <c r="B195" s="1448" t="s">
        <v>224</v>
      </c>
      <c r="C195" s="1447" t="s">
        <v>1440</v>
      </c>
    </row>
    <row r="196" spans="1:13" x14ac:dyDescent="0.2">
      <c r="A196" s="414"/>
      <c r="B196" s="1444" t="s">
        <v>292</v>
      </c>
      <c r="C196" s="1446">
        <v>2</v>
      </c>
    </row>
    <row r="197" spans="1:13" ht="25.5" x14ac:dyDescent="0.2">
      <c r="A197" s="414"/>
      <c r="B197" s="1445" t="s">
        <v>299</v>
      </c>
      <c r="C197" s="1275">
        <v>2</v>
      </c>
    </row>
    <row r="198" spans="1:13" x14ac:dyDescent="0.2">
      <c r="A198" s="414"/>
      <c r="B198" s="415"/>
      <c r="C198" s="1439"/>
    </row>
    <row r="199" spans="1:13" x14ac:dyDescent="0.2">
      <c r="A199" s="414"/>
      <c r="B199" s="1438" t="s">
        <v>86</v>
      </c>
      <c r="C199" s="1437">
        <f>SUM(C196:C197)</f>
        <v>4</v>
      </c>
      <c r="D199" s="1436" t="s">
        <v>78</v>
      </c>
    </row>
    <row r="200" spans="1:13" x14ac:dyDescent="0.2">
      <c r="A200" s="414"/>
      <c r="B200" s="415"/>
      <c r="C200" s="1439"/>
    </row>
    <row r="201" spans="1:13" x14ac:dyDescent="0.2">
      <c r="A201" s="414" t="str">
        <f>ORÇ!A432</f>
        <v>16.23</v>
      </c>
      <c r="B201" s="1998" t="str">
        <f>ORÇ!D432</f>
        <v>TORNEIRA CROMADA 1/2 OU 3/4 PARA TANQUE, PADRÃO POPULAR - FORNECIMENTO E INSTALAÇÃO. AF_01/2020</v>
      </c>
      <c r="C201" s="1998"/>
      <c r="D201" s="1998"/>
      <c r="E201" s="1998"/>
      <c r="F201" s="1998"/>
      <c r="G201" s="1998"/>
      <c r="H201" s="1998"/>
      <c r="I201" s="1998"/>
      <c r="J201" s="1998"/>
      <c r="K201" s="1998"/>
      <c r="L201" s="1998"/>
    </row>
    <row r="202" spans="1:13" x14ac:dyDescent="0.2">
      <c r="A202" s="414"/>
      <c r="B202" s="415"/>
      <c r="C202" s="1439"/>
    </row>
    <row r="203" spans="1:13" x14ac:dyDescent="0.2">
      <c r="A203" s="414"/>
      <c r="B203" s="415" t="s">
        <v>292</v>
      </c>
      <c r="C203" s="1439"/>
    </row>
    <row r="204" spans="1:13" x14ac:dyDescent="0.2">
      <c r="A204" s="414"/>
      <c r="B204" s="1438" t="s">
        <v>86</v>
      </c>
      <c r="C204" s="1437">
        <f>C199</f>
        <v>4</v>
      </c>
      <c r="D204" s="1436" t="s">
        <v>78</v>
      </c>
    </row>
    <row r="205" spans="1:13" x14ac:dyDescent="0.2">
      <c r="A205" s="414"/>
      <c r="B205" s="415"/>
      <c r="C205" s="1439"/>
    </row>
    <row r="206" spans="1:13" x14ac:dyDescent="0.2">
      <c r="A206" s="414" t="str">
        <f>ORÇ!A433</f>
        <v>16.24</v>
      </c>
      <c r="B206" s="1998" t="str">
        <f>ORÇ!D433</f>
        <v>FORNECIMENTO DE ESPELHO DE 80 X 50 CM PARA BANHEIRO</v>
      </c>
      <c r="C206" s="1998"/>
      <c r="D206" s="1998"/>
      <c r="E206" s="1998"/>
      <c r="F206" s="1998"/>
      <c r="G206" s="1998"/>
      <c r="H206" s="1998"/>
      <c r="I206" s="1998"/>
      <c r="J206" s="1998"/>
      <c r="K206" s="1998"/>
      <c r="L206" s="1998"/>
    </row>
    <row r="207" spans="1:13" x14ac:dyDescent="0.2">
      <c r="A207" s="414"/>
      <c r="B207" s="415"/>
      <c r="C207" s="1439"/>
    </row>
    <row r="208" spans="1:13" x14ac:dyDescent="0.2">
      <c r="B208" s="1274" t="s">
        <v>224</v>
      </c>
      <c r="C208" s="1274" t="s">
        <v>1440</v>
      </c>
    </row>
    <row r="209" spans="1:12" x14ac:dyDescent="0.2">
      <c r="B209" s="1444" t="s">
        <v>1439</v>
      </c>
      <c r="C209" s="1275">
        <v>2</v>
      </c>
    </row>
    <row r="210" spans="1:12" x14ac:dyDescent="0.2">
      <c r="B210" s="1444" t="s">
        <v>1438</v>
      </c>
      <c r="C210" s="1275">
        <v>4</v>
      </c>
    </row>
    <row r="211" spans="1:12" x14ac:dyDescent="0.2">
      <c r="B211" s="1444" t="s">
        <v>1437</v>
      </c>
      <c r="C211" s="1275">
        <v>4</v>
      </c>
    </row>
    <row r="212" spans="1:12" x14ac:dyDescent="0.2">
      <c r="B212" s="1444" t="s">
        <v>1436</v>
      </c>
      <c r="C212" s="1275">
        <v>2</v>
      </c>
    </row>
    <row r="213" spans="1:12" x14ac:dyDescent="0.2">
      <c r="B213" s="1444" t="s">
        <v>1435</v>
      </c>
      <c r="C213" s="1275">
        <v>2</v>
      </c>
    </row>
    <row r="214" spans="1:12" x14ac:dyDescent="0.2">
      <c r="B214" s="1444" t="s">
        <v>1434</v>
      </c>
      <c r="C214" s="1275">
        <v>1</v>
      </c>
    </row>
    <row r="215" spans="1:12" x14ac:dyDescent="0.2">
      <c r="B215" s="1444" t="s">
        <v>1433</v>
      </c>
      <c r="C215" s="1275">
        <v>1</v>
      </c>
    </row>
    <row r="217" spans="1:12" x14ac:dyDescent="0.2">
      <c r="A217" s="414"/>
      <c r="B217" s="1438" t="s">
        <v>86</v>
      </c>
      <c r="C217" s="1437">
        <f>SUM(C209:C215)</f>
        <v>16</v>
      </c>
      <c r="D217" s="1436" t="s">
        <v>78</v>
      </c>
    </row>
    <row r="219" spans="1:12" x14ac:dyDescent="0.2">
      <c r="A219" s="414" t="str">
        <f>ORÇ!A434</f>
        <v>16.25</v>
      </c>
      <c r="B219" s="1998" t="str">
        <f>ORÇ!D434</f>
        <v>COIFA ACOPLADA AO TETO, 120 X 60 CM, OU EQUIVALENTE. FORNCECIMENTO E INSTALAÇÃO</v>
      </c>
      <c r="C219" s="1998"/>
      <c r="D219" s="1998"/>
      <c r="E219" s="1998"/>
      <c r="F219" s="1998"/>
      <c r="G219" s="1998"/>
      <c r="H219" s="1998"/>
      <c r="I219" s="1998"/>
      <c r="J219" s="1998"/>
      <c r="K219" s="1998"/>
      <c r="L219" s="1998"/>
    </row>
    <row r="220" spans="1:12" x14ac:dyDescent="0.2">
      <c r="A220" s="414"/>
      <c r="B220" s="415"/>
      <c r="C220" s="1439"/>
    </row>
    <row r="221" spans="1:12" x14ac:dyDescent="0.2">
      <c r="A221" s="414"/>
      <c r="B221" s="1442" t="s">
        <v>1432</v>
      </c>
      <c r="C221" s="1439"/>
    </row>
    <row r="222" spans="1:12" x14ac:dyDescent="0.2">
      <c r="A222" s="414"/>
      <c r="B222" s="1438" t="s">
        <v>86</v>
      </c>
      <c r="C222" s="1437">
        <v>1</v>
      </c>
      <c r="D222" s="1436" t="s">
        <v>78</v>
      </c>
    </row>
    <row r="224" spans="1:12" x14ac:dyDescent="0.2">
      <c r="A224" s="414" t="str">
        <f>ORÇ!A435</f>
        <v>16.26</v>
      </c>
      <c r="B224" s="1998" t="str">
        <f>ORÇ!D435</f>
        <v>DIVISORIA SANITÁRIA, TIPO CABINE, EM GRANITO CINZA POLIDO, ESP = 3CM, ASSENTADO COM ARGAMASSA COLANTE AC III-E, EXCLUSIVE FERRAGENS. AF_01/2021</v>
      </c>
      <c r="C224" s="1998"/>
      <c r="D224" s="1998"/>
      <c r="E224" s="1998"/>
      <c r="F224" s="1998"/>
      <c r="G224" s="1998"/>
      <c r="H224" s="1998"/>
      <c r="I224" s="1998"/>
      <c r="J224" s="1998"/>
      <c r="K224" s="1998"/>
      <c r="L224" s="1998"/>
    </row>
    <row r="225" spans="1:7" x14ac:dyDescent="0.2">
      <c r="A225" s="414"/>
      <c r="B225" s="415"/>
      <c r="C225" s="1439"/>
    </row>
    <row r="226" spans="1:7" x14ac:dyDescent="0.2">
      <c r="A226" s="414"/>
      <c r="B226" s="1443" t="s">
        <v>309</v>
      </c>
      <c r="C226" s="1441" t="s">
        <v>356</v>
      </c>
      <c r="D226" s="1441"/>
      <c r="E226" s="1441" t="s">
        <v>291</v>
      </c>
      <c r="F226" s="1441"/>
      <c r="G226" s="1441" t="s">
        <v>263</v>
      </c>
    </row>
    <row r="227" spans="1:7" x14ac:dyDescent="0.2">
      <c r="A227" s="414"/>
      <c r="B227" s="1442" t="s">
        <v>671</v>
      </c>
      <c r="C227" s="1440">
        <f>(3.47+1.2+1.2+1.2+0.8+0.8)-(3*0.8)</f>
        <v>6.27</v>
      </c>
      <c r="D227" s="1441" t="s">
        <v>71</v>
      </c>
      <c r="E227" s="1440">
        <v>1.8</v>
      </c>
      <c r="F227" s="1441" t="s">
        <v>72</v>
      </c>
      <c r="G227" s="1440">
        <f>ROUND(C227*E227,2)</f>
        <v>11.29</v>
      </c>
    </row>
    <row r="228" spans="1:7" x14ac:dyDescent="0.2">
      <c r="A228" s="414"/>
      <c r="B228" s="1442" t="s">
        <v>577</v>
      </c>
      <c r="C228" s="1440">
        <f>(5.5+0.8+(4*1.2))-(5*0.8)</f>
        <v>7.1</v>
      </c>
      <c r="D228" s="1441" t="s">
        <v>71</v>
      </c>
      <c r="E228" s="1440">
        <v>1.8</v>
      </c>
      <c r="F228" s="1441" t="s">
        <v>72</v>
      </c>
      <c r="G228" s="1440">
        <f>ROUND(C228*E228,2)</f>
        <v>12.78</v>
      </c>
    </row>
    <row r="229" spans="1:7" x14ac:dyDescent="0.2">
      <c r="A229" s="414"/>
      <c r="B229" s="1442" t="s">
        <v>578</v>
      </c>
      <c r="C229" s="1440">
        <f>(3.5+1.2+1.2)-(3*0.8)</f>
        <v>3.5</v>
      </c>
      <c r="D229" s="1441" t="s">
        <v>71</v>
      </c>
      <c r="E229" s="1440">
        <v>1.8</v>
      </c>
      <c r="F229" s="1441" t="s">
        <v>72</v>
      </c>
      <c r="G229" s="1440">
        <f>ROUND(C229*E229,2)</f>
        <v>6.3</v>
      </c>
    </row>
    <row r="230" spans="1:7" x14ac:dyDescent="0.2">
      <c r="A230" s="414"/>
      <c r="B230" s="1442" t="s">
        <v>579</v>
      </c>
      <c r="C230" s="1440">
        <f>C229</f>
        <v>3.5</v>
      </c>
      <c r="D230" s="1441" t="s">
        <v>71</v>
      </c>
      <c r="E230" s="1440">
        <v>1.8</v>
      </c>
      <c r="F230" s="1441" t="s">
        <v>72</v>
      </c>
      <c r="G230" s="1440">
        <f>ROUND(C230*E230,2)</f>
        <v>6.3</v>
      </c>
    </row>
    <row r="231" spans="1:7" x14ac:dyDescent="0.2">
      <c r="A231" s="414"/>
      <c r="B231" s="415"/>
      <c r="C231" s="1439"/>
    </row>
    <row r="232" spans="1:7" x14ac:dyDescent="0.2">
      <c r="A232" s="414"/>
      <c r="B232" s="1438" t="s">
        <v>86</v>
      </c>
      <c r="C232" s="1437">
        <f>ROUND(SUM(G227:G230),2)</f>
        <v>36.67</v>
      </c>
      <c r="D232" s="1436" t="s">
        <v>6</v>
      </c>
    </row>
  </sheetData>
  <mergeCells count="52">
    <mergeCell ref="B4:N4"/>
    <mergeCell ref="B5:G5"/>
    <mergeCell ref="H5:I6"/>
    <mergeCell ref="J5:N6"/>
    <mergeCell ref="A9:N9"/>
    <mergeCell ref="B6:G7"/>
    <mergeCell ref="H7:I7"/>
    <mergeCell ref="J7:N7"/>
    <mergeCell ref="A6:A7"/>
    <mergeCell ref="A1:N1"/>
    <mergeCell ref="B2:I2"/>
    <mergeCell ref="J2:K2"/>
    <mergeCell ref="L2:N2"/>
    <mergeCell ref="B3:N3"/>
    <mergeCell ref="F30:G30"/>
    <mergeCell ref="B50:C50"/>
    <mergeCell ref="E50:F50"/>
    <mergeCell ref="F17:G17"/>
    <mergeCell ref="B82:N82"/>
    <mergeCell ref="B71:C71"/>
    <mergeCell ref="A10:N10"/>
    <mergeCell ref="A11:N11"/>
    <mergeCell ref="B44:L44"/>
    <mergeCell ref="B39:L39"/>
    <mergeCell ref="B219:L219"/>
    <mergeCell ref="B188:M188"/>
    <mergeCell ref="B101:B104"/>
    <mergeCell ref="B108:N108"/>
    <mergeCell ref="B145:N145"/>
    <mergeCell ref="B170:N170"/>
    <mergeCell ref="B180:N180"/>
    <mergeCell ref="B137:N137"/>
    <mergeCell ref="B91:N91"/>
    <mergeCell ref="B98:N98"/>
    <mergeCell ref="B17:C17"/>
    <mergeCell ref="B30:C30"/>
    <mergeCell ref="B224:L224"/>
    <mergeCell ref="B28:N28"/>
    <mergeCell ref="B15:N15"/>
    <mergeCell ref="B70:N70"/>
    <mergeCell ref="B84:C84"/>
    <mergeCell ref="B61:C61"/>
    <mergeCell ref="E61:F61"/>
    <mergeCell ref="B48:L48"/>
    <mergeCell ref="B116:N116"/>
    <mergeCell ref="B139:C139"/>
    <mergeCell ref="B150:L150"/>
    <mergeCell ref="B206:L206"/>
    <mergeCell ref="B193:M193"/>
    <mergeCell ref="B201:L201"/>
    <mergeCell ref="B128:N128"/>
    <mergeCell ref="B123:N123"/>
  </mergeCells>
  <pageMargins left="0.7" right="0.7" top="0.75" bottom="0.75" header="0.3" footer="0.3"/>
  <pageSetup paperSize="9" scale="60" orientation="portrait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"/>
  <sheetViews>
    <sheetView view="pageBreakPreview" topLeftCell="A9" zoomScaleNormal="100" zoomScaleSheetLayoutView="100" workbookViewId="0">
      <selection activeCell="C29" sqref="C29"/>
    </sheetView>
  </sheetViews>
  <sheetFormatPr defaultRowHeight="12.75" x14ac:dyDescent="0.2"/>
  <cols>
    <col min="1" max="1" width="15.85546875" customWidth="1"/>
    <col min="2" max="2" width="11.140625" customWidth="1"/>
  </cols>
  <sheetData>
    <row r="1" spans="1:25" ht="75.7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25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25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25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25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25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25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25" ht="13.5" thickBot="1" x14ac:dyDescent="0.25"/>
    <row r="9" spans="1:25" ht="13.5" thickBot="1" x14ac:dyDescent="0.25">
      <c r="A9" s="1865" t="s">
        <v>562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6"/>
      <c r="L9" s="1866"/>
      <c r="M9" s="1866"/>
      <c r="N9" s="1867"/>
    </row>
    <row r="10" spans="1:25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7"/>
    </row>
    <row r="11" spans="1:25" ht="13.5" thickBot="1" x14ac:dyDescent="0.25">
      <c r="A11" s="1865" t="str">
        <f>ORÇ!D438</f>
        <v>Muro/Gradil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6"/>
      <c r="L11" s="1866"/>
      <c r="M11" s="1866"/>
      <c r="N11" s="1867"/>
    </row>
    <row r="12" spans="1:25" x14ac:dyDescent="0.2">
      <c r="A12" s="418"/>
      <c r="B12" s="418"/>
      <c r="C12" s="418"/>
      <c r="D12" s="418"/>
      <c r="E12" s="418"/>
      <c r="F12" s="418"/>
      <c r="G12" s="418"/>
      <c r="H12" s="418"/>
      <c r="I12" s="418"/>
      <c r="J12" s="418"/>
      <c r="K12" s="418"/>
    </row>
    <row r="13" spans="1:25" s="351" customFormat="1" x14ac:dyDescent="0.2">
      <c r="A13" s="410">
        <f>ORÇ!A438</f>
        <v>17</v>
      </c>
      <c r="B13" s="411" t="str">
        <f>ORÇ!D438</f>
        <v>Muro/Gradil</v>
      </c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1:25" s="351" customFormat="1" x14ac:dyDescent="0.2">
      <c r="A14" s="410"/>
      <c r="B14" s="411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1:25" s="351" customFormat="1" x14ac:dyDescent="0.2">
      <c r="A15" s="410" t="str">
        <f>ORÇ!A439</f>
        <v>17.1</v>
      </c>
      <c r="B15" s="2002" t="str">
        <f>ORÇ!D439</f>
        <v>Muro em alvenaria,rebocado e pintado 2 faces(h=2.0m)</v>
      </c>
      <c r="C15" s="2002"/>
      <c r="D15" s="2002"/>
      <c r="E15" s="2002"/>
      <c r="F15" s="2002"/>
      <c r="G15" s="2002"/>
      <c r="H15" s="2002"/>
      <c r="I15" s="2002"/>
      <c r="J15" s="2002"/>
      <c r="K15" s="2002"/>
      <c r="L15" s="2002"/>
      <c r="M15" s="2002"/>
      <c r="N15" s="2002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1:25" s="351" customFormat="1" x14ac:dyDescent="0.2">
      <c r="A16" s="410"/>
      <c r="B16" s="411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1:25" s="351" customFormat="1" x14ac:dyDescent="0.2">
      <c r="A17" s="410"/>
      <c r="B17" s="2029" t="s">
        <v>1131</v>
      </c>
      <c r="C17" s="2030"/>
      <c r="D17" s="123">
        <v>18</v>
      </c>
      <c r="E17" s="299" t="s">
        <v>17</v>
      </c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1:25" s="351" customFormat="1" x14ac:dyDescent="0.2">
      <c r="A18" s="410"/>
      <c r="B18" s="411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</row>
    <row r="19" spans="1:25" ht="25.5" customHeight="1" x14ac:dyDescent="0.2">
      <c r="A19" s="410" t="str">
        <f>ORÇ!A440</f>
        <v>17.2</v>
      </c>
      <c r="B19" s="2002" t="str">
        <f>ORÇ!D440</f>
        <v>FORNECIMENTO E INSTALAÇÃO DE GRADIL COM MONTANTES EM TUBO DE AÇO GALVANIZADO 3", TELA DE ARAME GALVANIZADO MALHA 5X5CM, H= 2M, INCLUINDO BLOCOS DE FUNDAÇÃO, BALDRAME E PINTURA ANTICORROSIVA APLICADA NA ESTRUTURA METÁLICA.</v>
      </c>
      <c r="C19" s="2002"/>
      <c r="D19" s="2002"/>
      <c r="E19" s="2002"/>
      <c r="F19" s="2002"/>
      <c r="G19" s="2002"/>
      <c r="H19" s="2002"/>
      <c r="I19" s="2002"/>
      <c r="J19" s="2002"/>
      <c r="K19" s="2002"/>
      <c r="L19" s="2002"/>
      <c r="M19" s="2002"/>
      <c r="N19" s="2002"/>
    </row>
    <row r="21" spans="1:25" x14ac:dyDescent="0.2">
      <c r="B21" s="38" t="s">
        <v>1135</v>
      </c>
      <c r="C21" s="38" t="s">
        <v>1060</v>
      </c>
      <c r="E21" s="38" t="s">
        <v>1136</v>
      </c>
    </row>
    <row r="22" spans="1:25" x14ac:dyDescent="0.2">
      <c r="C22" s="339">
        <v>11.7</v>
      </c>
      <c r="D22" s="484" t="s">
        <v>71</v>
      </c>
      <c r="E22" s="339">
        <v>1</v>
      </c>
      <c r="F22" s="484" t="s">
        <v>72</v>
      </c>
      <c r="G22" s="339">
        <f>ROUND((C22*E22),2)</f>
        <v>11.7</v>
      </c>
    </row>
    <row r="23" spans="1:25" x14ac:dyDescent="0.2">
      <c r="C23" s="339">
        <v>1.55</v>
      </c>
      <c r="D23" s="484" t="s">
        <v>71</v>
      </c>
      <c r="E23" s="339">
        <v>1</v>
      </c>
      <c r="F23" s="484" t="s">
        <v>72</v>
      </c>
      <c r="G23" s="339">
        <f t="shared" ref="G23:G25" si="0">ROUND((C23*E23),2)</f>
        <v>1.55</v>
      </c>
    </row>
    <row r="24" spans="1:25" x14ac:dyDescent="0.2">
      <c r="C24" s="339">
        <v>2.5499999999999998</v>
      </c>
      <c r="D24" s="484" t="s">
        <v>71</v>
      </c>
      <c r="E24" s="339">
        <v>1</v>
      </c>
      <c r="F24" s="484" t="s">
        <v>72</v>
      </c>
      <c r="G24" s="339">
        <f t="shared" si="0"/>
        <v>2.5499999999999998</v>
      </c>
    </row>
    <row r="25" spans="1:25" x14ac:dyDescent="0.2">
      <c r="C25" s="339">
        <v>1.1499999999999999</v>
      </c>
      <c r="D25" s="484" t="s">
        <v>71</v>
      </c>
      <c r="E25" s="339">
        <v>1</v>
      </c>
      <c r="F25" s="484" t="s">
        <v>72</v>
      </c>
      <c r="G25" s="339">
        <f t="shared" si="0"/>
        <v>1.1499999999999999</v>
      </c>
    </row>
    <row r="26" spans="1:25" x14ac:dyDescent="0.2">
      <c r="C26" s="1116">
        <v>35.299999999999997</v>
      </c>
      <c r="D26" s="838" t="s">
        <v>71</v>
      </c>
      <c r="E26" s="1116">
        <v>1</v>
      </c>
      <c r="F26" s="838" t="s">
        <v>72</v>
      </c>
      <c r="G26" s="1116">
        <f t="shared" ref="G26" si="1">ROUND((C26*E26),2)</f>
        <v>35.299999999999997</v>
      </c>
    </row>
    <row r="27" spans="1:25" x14ac:dyDescent="0.2">
      <c r="E27" s="38"/>
      <c r="F27" s="543" t="s">
        <v>72</v>
      </c>
      <c r="G27" s="339">
        <f>SUM(G22:G26)</f>
        <v>52.25</v>
      </c>
    </row>
    <row r="29" spans="1:25" x14ac:dyDescent="0.2">
      <c r="B29" s="862" t="s">
        <v>1137</v>
      </c>
      <c r="C29" s="123">
        <f>G27</f>
        <v>52.25</v>
      </c>
      <c r="D29" s="299" t="s">
        <v>17</v>
      </c>
    </row>
    <row r="31" spans="1:25" ht="29.25" customHeight="1" x14ac:dyDescent="0.2">
      <c r="A31" s="1120" t="str">
        <f>ORÇ!A441</f>
        <v>17.3</v>
      </c>
      <c r="B31" s="2002" t="str">
        <f>ORÇ!D441</f>
        <v>FORNECIMENTO E INSTALAÇÃO DE PORTAO DE ABRIR / GIRO, EM GRADIL DE METALON REDONDO DE 3/4"  VERTICAL, COM REQUADRO, ACABAMENTO NATURAL - COMPLETO, INCLUSO PINTURA ANTICORROSIVA APLICADA NA ESTRUTURA METÁLICA.</v>
      </c>
      <c r="C31" s="2002"/>
      <c r="D31" s="2002"/>
      <c r="E31" s="2002"/>
      <c r="F31" s="2002"/>
      <c r="G31" s="2002"/>
      <c r="H31" s="2002"/>
      <c r="I31" s="2002"/>
      <c r="J31" s="2002"/>
      <c r="K31" s="2002"/>
      <c r="L31" s="2002"/>
      <c r="M31" s="2002"/>
      <c r="N31" s="2002"/>
    </row>
    <row r="33" spans="2:9" x14ac:dyDescent="0.2">
      <c r="B33" s="38" t="s">
        <v>1141</v>
      </c>
      <c r="C33" s="38" t="s">
        <v>1142</v>
      </c>
      <c r="E33" s="38" t="s">
        <v>583</v>
      </c>
      <c r="G33" s="38" t="s">
        <v>35</v>
      </c>
      <c r="I33" s="38" t="s">
        <v>811</v>
      </c>
    </row>
    <row r="34" spans="2:9" x14ac:dyDescent="0.2">
      <c r="B34" s="1113" t="s">
        <v>1143</v>
      </c>
      <c r="C34" s="339">
        <v>4</v>
      </c>
      <c r="D34" s="484" t="s">
        <v>71</v>
      </c>
      <c r="E34" s="339">
        <v>2</v>
      </c>
      <c r="F34" s="484" t="s">
        <v>71</v>
      </c>
      <c r="G34" s="827">
        <v>1</v>
      </c>
      <c r="H34" s="484" t="s">
        <v>72</v>
      </c>
      <c r="I34" s="339">
        <f>ROUND((C34*E34),2)</f>
        <v>8</v>
      </c>
    </row>
    <row r="35" spans="2:9" x14ac:dyDescent="0.2">
      <c r="B35" s="1113" t="s">
        <v>1144</v>
      </c>
      <c r="C35" s="339">
        <v>1</v>
      </c>
      <c r="D35" s="484" t="s">
        <v>71</v>
      </c>
      <c r="E35" s="339">
        <v>2</v>
      </c>
      <c r="F35" s="484" t="s">
        <v>71</v>
      </c>
      <c r="G35" s="827">
        <v>3</v>
      </c>
      <c r="H35" s="484" t="s">
        <v>72</v>
      </c>
      <c r="I35" s="339">
        <f>ROUND((C35*E35),2)</f>
        <v>2</v>
      </c>
    </row>
    <row r="37" spans="2:9" x14ac:dyDescent="0.2">
      <c r="B37" s="1112" t="s">
        <v>1145</v>
      </c>
      <c r="C37" s="123">
        <f>SUM(I34:I35)</f>
        <v>10</v>
      </c>
      <c r="D37" s="299" t="s">
        <v>6</v>
      </c>
    </row>
  </sheetData>
  <mergeCells count="20">
    <mergeCell ref="A10:N10"/>
    <mergeCell ref="A11:N11"/>
    <mergeCell ref="B15:N15"/>
    <mergeCell ref="B17:C17"/>
    <mergeCell ref="B31:N31"/>
    <mergeCell ref="B19:N19"/>
    <mergeCell ref="B4:N4"/>
    <mergeCell ref="A1:N1"/>
    <mergeCell ref="B2:I2"/>
    <mergeCell ref="J2:K2"/>
    <mergeCell ref="L2:N2"/>
    <mergeCell ref="B3:N3"/>
    <mergeCell ref="A9:N9"/>
    <mergeCell ref="B5:G5"/>
    <mergeCell ref="H5:I6"/>
    <mergeCell ref="J5:N6"/>
    <mergeCell ref="A6:A7"/>
    <mergeCell ref="B6:G7"/>
    <mergeCell ref="H7:I7"/>
    <mergeCell ref="J7:N7"/>
  </mergeCells>
  <pageMargins left="0.511811024" right="0.511811024" top="0.78740157499999996" bottom="0.78740157499999996" header="0.31496062000000002" footer="0.31496062000000002"/>
  <pageSetup paperSize="9" scale="68" orientation="portrait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view="pageBreakPreview" zoomScaleNormal="100" zoomScaleSheetLayoutView="100" workbookViewId="0">
      <selection activeCell="C46" sqref="C46"/>
    </sheetView>
  </sheetViews>
  <sheetFormatPr defaultRowHeight="12.75" x14ac:dyDescent="0.2"/>
  <cols>
    <col min="1" max="1" width="15.140625" customWidth="1"/>
    <col min="2" max="2" width="12.7109375" customWidth="1"/>
    <col min="3" max="3" width="15" customWidth="1"/>
    <col min="4" max="4" width="12.7109375" customWidth="1"/>
  </cols>
  <sheetData>
    <row r="1" spans="1:14" ht="70.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4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4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4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4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4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4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4" s="379" customFormat="1" ht="15.75" thickBot="1" x14ac:dyDescent="0.25">
      <c r="A8" s="428"/>
      <c r="B8" s="429"/>
      <c r="C8" s="429"/>
      <c r="D8" s="429"/>
      <c r="E8" s="429"/>
      <c r="F8" s="429"/>
      <c r="G8" s="429"/>
      <c r="H8" s="430"/>
      <c r="I8" s="430"/>
      <c r="J8" s="431"/>
      <c r="K8" s="431"/>
      <c r="L8" s="431"/>
      <c r="M8" s="431"/>
      <c r="N8" s="431"/>
    </row>
    <row r="9" spans="1:14" ht="13.5" thickBot="1" x14ac:dyDescent="0.25">
      <c r="A9" s="1865" t="s">
        <v>563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6"/>
      <c r="L9" s="1866"/>
      <c r="M9" s="1866"/>
      <c r="N9" s="1867"/>
    </row>
    <row r="10" spans="1:14" ht="13.5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7"/>
    </row>
    <row r="11" spans="1:14" ht="12.75" customHeight="1" thickBot="1" x14ac:dyDescent="0.25">
      <c r="A11" s="2032" t="str">
        <f>ORÇ!D444</f>
        <v>Serviços Diversos</v>
      </c>
      <c r="B11" s="2033"/>
      <c r="C11" s="2033"/>
      <c r="D11" s="2033"/>
      <c r="E11" s="2033"/>
      <c r="F11" s="2033"/>
      <c r="G11" s="2033"/>
      <c r="H11" s="2033"/>
      <c r="I11" s="2033"/>
      <c r="J11" s="2033"/>
      <c r="K11" s="2033"/>
      <c r="L11" s="2033"/>
      <c r="M11" s="2033"/>
      <c r="N11" s="2034"/>
    </row>
    <row r="12" spans="1:14" x14ac:dyDescent="0.2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61"/>
    </row>
    <row r="13" spans="1:14" x14ac:dyDescent="0.2">
      <c r="A13" s="487">
        <f>ORÇ!A444</f>
        <v>18</v>
      </c>
      <c r="B13" s="63" t="str">
        <f>ORÇ!D444</f>
        <v>Serviços Diversos</v>
      </c>
      <c r="C13" s="62"/>
      <c r="D13" s="60"/>
      <c r="E13" s="60"/>
      <c r="F13" s="60"/>
      <c r="G13" s="60"/>
      <c r="H13" s="60"/>
      <c r="I13" s="60"/>
      <c r="J13" s="60"/>
      <c r="K13" s="64"/>
    </row>
    <row r="14" spans="1:14" x14ac:dyDescent="0.2">
      <c r="A14" s="745"/>
      <c r="B14" s="63"/>
      <c r="C14" s="60"/>
      <c r="D14" s="19"/>
      <c r="E14" s="60"/>
      <c r="F14" s="60"/>
      <c r="G14" s="19"/>
      <c r="H14" s="19"/>
      <c r="I14" s="57"/>
      <c r="J14" s="57"/>
      <c r="K14" s="62"/>
    </row>
    <row r="15" spans="1:14" s="329" customFormat="1" ht="26.25" customHeight="1" x14ac:dyDescent="0.2">
      <c r="A15" s="745" t="str">
        <f>ORÇ!A445</f>
        <v>18.1</v>
      </c>
      <c r="B15" s="1887" t="str">
        <f>ORÇ!D445</f>
        <v>GUARDA-CORPO DE AÇO GALVANIZADO DE 1,10M DE ALTURA, MONTANTES TUBULARES DE 1.1/2 ESPAÇADOS DE 1,20M, TRAVESSA SUPERIOR DE 2, GRADIL FORMADO POR BARRAS CHATAS EM FERRO DE 32X4,8MM, FIXADO COM CHUMBADOR MECÂNICO. AF_04/2019_P</v>
      </c>
      <c r="C15" s="1887"/>
      <c r="D15" s="1887"/>
      <c r="E15" s="1887"/>
      <c r="F15" s="1887"/>
      <c r="G15" s="1887"/>
      <c r="H15" s="1887"/>
      <c r="I15" s="1887"/>
      <c r="J15" s="1887"/>
      <c r="K15" s="1887"/>
      <c r="L15" s="1887"/>
      <c r="M15" s="1887"/>
      <c r="N15" s="1887"/>
    </row>
    <row r="16" spans="1:14" x14ac:dyDescent="0.2">
      <c r="A16" s="745"/>
      <c r="B16" s="385"/>
      <c r="C16" s="595"/>
      <c r="D16" s="19"/>
      <c r="E16" s="595"/>
      <c r="F16" s="595"/>
      <c r="G16" s="19"/>
      <c r="H16" s="19"/>
      <c r="I16" s="57"/>
      <c r="J16" s="57"/>
      <c r="K16" s="420"/>
    </row>
    <row r="17" spans="1:14" x14ac:dyDescent="0.2">
      <c r="A17" s="745"/>
      <c r="B17" s="609" t="s">
        <v>224</v>
      </c>
      <c r="C17" s="609" t="s">
        <v>225</v>
      </c>
      <c r="D17" s="19"/>
      <c r="E17" s="595"/>
      <c r="F17" s="595"/>
      <c r="G17" s="19"/>
      <c r="H17" s="19"/>
      <c r="I17" s="57"/>
      <c r="J17" s="57"/>
      <c r="K17" s="420"/>
    </row>
    <row r="18" spans="1:14" ht="12.75" customHeight="1" x14ac:dyDescent="0.2">
      <c r="A18" s="745"/>
      <c r="B18" s="2035" t="s">
        <v>564</v>
      </c>
      <c r="C18" s="736">
        <v>2.2000000000000002</v>
      </c>
      <c r="D18" s="19"/>
      <c r="E18" s="165"/>
      <c r="F18" s="165"/>
      <c r="G18" s="19"/>
      <c r="H18" s="19"/>
      <c r="I18" s="57"/>
    </row>
    <row r="19" spans="1:14" x14ac:dyDescent="0.2">
      <c r="A19" s="745"/>
      <c r="B19" s="2035"/>
      <c r="C19" s="736">
        <v>4</v>
      </c>
      <c r="D19" s="19"/>
      <c r="E19" s="60"/>
      <c r="F19" s="60"/>
      <c r="G19" s="19"/>
      <c r="H19" s="19"/>
      <c r="I19" s="57"/>
    </row>
    <row r="20" spans="1:14" x14ac:dyDescent="0.2">
      <c r="A20" s="742"/>
      <c r="B20" s="2035"/>
      <c r="C20" s="736">
        <v>4</v>
      </c>
      <c r="D20" s="19"/>
      <c r="E20" s="733"/>
      <c r="F20" s="733"/>
      <c r="G20" s="19"/>
      <c r="H20" s="19"/>
      <c r="I20" s="57"/>
    </row>
    <row r="21" spans="1:14" ht="25.5" x14ac:dyDescent="0.2">
      <c r="A21" s="742"/>
      <c r="B21" s="736" t="s">
        <v>568</v>
      </c>
      <c r="C21" s="736">
        <v>19.100000000000001</v>
      </c>
      <c r="D21" s="19"/>
      <c r="E21" s="733"/>
      <c r="F21" s="733"/>
      <c r="G21" s="19"/>
      <c r="H21" s="19"/>
      <c r="I21" s="57"/>
    </row>
    <row r="22" spans="1:14" x14ac:dyDescent="0.2">
      <c r="A22" s="742"/>
      <c r="B22" s="750"/>
      <c r="C22" s="731"/>
      <c r="D22" s="19"/>
      <c r="E22" s="595"/>
      <c r="F22" s="595"/>
      <c r="G22" s="19"/>
      <c r="H22" s="19"/>
      <c r="I22" s="57"/>
    </row>
    <row r="23" spans="1:14" x14ac:dyDescent="0.2">
      <c r="A23" s="745"/>
      <c r="B23" s="734" t="s">
        <v>233</v>
      </c>
      <c r="C23" s="171">
        <f>SUM(C18:C21)</f>
        <v>29.3</v>
      </c>
      <c r="D23" s="172" t="s">
        <v>17</v>
      </c>
      <c r="E23" s="60"/>
      <c r="F23" s="60"/>
      <c r="G23" s="60"/>
      <c r="H23" s="19"/>
      <c r="I23" s="19"/>
    </row>
    <row r="24" spans="1:14" x14ac:dyDescent="0.2">
      <c r="A24" s="745"/>
      <c r="B24" s="63"/>
      <c r="C24" s="60"/>
      <c r="D24" s="19"/>
      <c r="E24" s="60"/>
      <c r="F24" s="60"/>
      <c r="G24" s="19"/>
      <c r="H24" s="19"/>
      <c r="I24" s="57"/>
    </row>
    <row r="25" spans="1:14" s="329" customFormat="1" ht="27.75" customHeight="1" x14ac:dyDescent="0.2">
      <c r="A25" s="865" t="str">
        <f>ORÇ!A446</f>
        <v>18.2</v>
      </c>
      <c r="B25" s="1887" t="str">
        <f>ORÇ!D446</f>
        <v>CORRIMÃO SIMPLES, DIÂMETRO EXTERNO = 1 1/2", EM ALUMÍNIO. AF_04/2019_P</v>
      </c>
      <c r="C25" s="1887"/>
      <c r="D25" s="1887"/>
      <c r="E25" s="1887"/>
      <c r="F25" s="1887"/>
      <c r="G25" s="1887"/>
      <c r="H25" s="1887"/>
      <c r="I25" s="1887"/>
      <c r="J25" s="1887"/>
      <c r="K25" s="1887"/>
      <c r="L25" s="1887"/>
      <c r="M25" s="1887"/>
      <c r="N25" s="1887"/>
    </row>
    <row r="26" spans="1:14" x14ac:dyDescent="0.2">
      <c r="B26" t="s">
        <v>758</v>
      </c>
    </row>
    <row r="27" spans="1:14" x14ac:dyDescent="0.2">
      <c r="B27" s="1916" t="s">
        <v>757</v>
      </c>
      <c r="C27" s="1916"/>
      <c r="D27" s="1916"/>
      <c r="F27" s="662" t="s">
        <v>255</v>
      </c>
    </row>
    <row r="28" spans="1:14" x14ac:dyDescent="0.2">
      <c r="B28" s="339">
        <v>4.3</v>
      </c>
      <c r="C28" s="339">
        <v>3.8</v>
      </c>
      <c r="D28" s="339">
        <v>4.3</v>
      </c>
      <c r="F28" s="495">
        <f>SUM(B28:D28)</f>
        <v>12.399999999999999</v>
      </c>
    </row>
    <row r="30" spans="1:14" x14ac:dyDescent="0.2">
      <c r="B30" t="s">
        <v>758</v>
      </c>
    </row>
    <row r="31" spans="1:14" x14ac:dyDescent="0.2">
      <c r="B31" s="1916" t="s">
        <v>757</v>
      </c>
      <c r="C31" s="1916"/>
      <c r="D31" s="1916"/>
      <c r="F31" s="662" t="s">
        <v>255</v>
      </c>
    </row>
    <row r="32" spans="1:14" x14ac:dyDescent="0.2">
      <c r="B32" s="339">
        <v>4.01</v>
      </c>
      <c r="C32" s="339">
        <v>3.7</v>
      </c>
      <c r="D32" s="339">
        <v>4.34</v>
      </c>
      <c r="F32" s="495">
        <f>SUM(B32:D32)</f>
        <v>12.05</v>
      </c>
    </row>
    <row r="33" spans="1:14" x14ac:dyDescent="0.2">
      <c r="B33" s="339"/>
      <c r="C33" s="339"/>
      <c r="D33" s="339"/>
      <c r="F33" s="495"/>
    </row>
    <row r="34" spans="1:14" s="329" customFormat="1" ht="25.5" x14ac:dyDescent="0.2">
      <c r="B34" s="880" t="s">
        <v>511</v>
      </c>
      <c r="C34" s="881">
        <f>F28+F32</f>
        <v>24.45</v>
      </c>
      <c r="D34" s="882" t="s">
        <v>17</v>
      </c>
    </row>
    <row r="35" spans="1:14" x14ac:dyDescent="0.2">
      <c r="A35" s="865"/>
      <c r="B35" s="596"/>
      <c r="C35" s="861"/>
      <c r="D35" s="19"/>
      <c r="E35" s="861"/>
      <c r="F35" s="861"/>
      <c r="G35" s="19"/>
      <c r="H35" s="19"/>
      <c r="I35" s="57"/>
    </row>
    <row r="36" spans="1:14" x14ac:dyDescent="0.2">
      <c r="A36" s="745"/>
      <c r="B36" s="2031"/>
      <c r="C36" s="2031"/>
      <c r="D36" s="2031"/>
      <c r="E36" s="2031"/>
      <c r="F36" s="60"/>
      <c r="G36" s="19"/>
      <c r="H36" s="19"/>
      <c r="I36" s="19"/>
      <c r="J36" s="19"/>
      <c r="K36" s="62"/>
    </row>
    <row r="37" spans="1:14" s="329" customFormat="1" ht="26.25" customHeight="1" x14ac:dyDescent="0.2">
      <c r="A37" s="745" t="str">
        <f>ORÇ!A447</f>
        <v>18.3</v>
      </c>
      <c r="B37" s="1887" t="str">
        <f>ORÇ!D447</f>
        <v>FORNECIMENTO E INSTALAÇÃO DE BANCO COM FUNDAÇÃO EM CONCRETO CICLÓPICO E ESTRUTURA EM CONCRETO ARMADO, COM DIMENSÕES DE 2,00X0,50M, INCLUINDO PINTURA ACRILICA.</v>
      </c>
      <c r="C37" s="1887"/>
      <c r="D37" s="1887"/>
      <c r="E37" s="1887"/>
      <c r="F37" s="1887"/>
      <c r="G37" s="1887"/>
      <c r="H37" s="1887"/>
      <c r="I37" s="1887"/>
      <c r="J37" s="1887"/>
      <c r="K37" s="1887"/>
      <c r="L37" s="1887"/>
      <c r="M37" s="1887"/>
      <c r="N37" s="1887"/>
    </row>
    <row r="38" spans="1:14" x14ac:dyDescent="0.2">
      <c r="K38" s="62"/>
    </row>
    <row r="39" spans="1:14" x14ac:dyDescent="0.2">
      <c r="B39" s="747" t="s">
        <v>224</v>
      </c>
      <c r="C39" s="747" t="s">
        <v>250</v>
      </c>
      <c r="K39" s="420"/>
    </row>
    <row r="40" spans="1:14" ht="25.5" x14ac:dyDescent="0.2">
      <c r="B40" s="108" t="s">
        <v>487</v>
      </c>
      <c r="C40" s="749">
        <v>6</v>
      </c>
      <c r="K40" s="420"/>
    </row>
    <row r="41" spans="1:14" x14ac:dyDescent="0.2">
      <c r="B41" s="38"/>
      <c r="K41" s="420"/>
    </row>
    <row r="42" spans="1:14" x14ac:dyDescent="0.2">
      <c r="B42" s="741" t="s">
        <v>250</v>
      </c>
      <c r="C42" s="171">
        <f>SUM(C40:C40)</f>
        <v>6</v>
      </c>
      <c r="D42" s="172" t="s">
        <v>96</v>
      </c>
      <c r="K42" s="57"/>
    </row>
    <row r="43" spans="1:14" x14ac:dyDescent="0.2">
      <c r="K43" s="57"/>
    </row>
    <row r="44" spans="1:14" s="329" customFormat="1" x14ac:dyDescent="0.2">
      <c r="A44" s="855" t="str">
        <f>ORÇ!A448</f>
        <v>18.4</v>
      </c>
      <c r="B44" s="1887" t="str">
        <f>ORÇ!D448</f>
        <v>Mastro em fo.go. sobre base de concreto-3 um</v>
      </c>
      <c r="C44" s="1887"/>
      <c r="D44" s="1887"/>
      <c r="E44" s="1887"/>
      <c r="F44" s="1887"/>
      <c r="G44" s="1887"/>
      <c r="H44" s="1887"/>
      <c r="I44" s="1887"/>
      <c r="J44" s="1887"/>
      <c r="K44" s="1887"/>
      <c r="L44" s="1887"/>
      <c r="M44" s="1887"/>
      <c r="N44" s="1887"/>
    </row>
    <row r="46" spans="1:14" x14ac:dyDescent="0.2">
      <c r="B46" s="853" t="s">
        <v>250</v>
      </c>
      <c r="C46" s="171">
        <v>2</v>
      </c>
      <c r="D46" s="172" t="s">
        <v>362</v>
      </c>
    </row>
    <row r="48" spans="1:14" x14ac:dyDescent="0.2">
      <c r="A48" s="855" t="str">
        <f>ORÇ!A449</f>
        <v>18.5</v>
      </c>
      <c r="B48" s="1887" t="str">
        <f>ORÇ!D449</f>
        <v>PLANTIO DE ARBUSTO OU  CERCA VIVA. AF_05/2018</v>
      </c>
      <c r="C48" s="1887"/>
      <c r="D48" s="1887"/>
      <c r="E48" s="1887"/>
      <c r="F48" s="1887"/>
      <c r="G48" s="1887"/>
      <c r="H48" s="1887"/>
      <c r="I48" s="1887"/>
      <c r="J48" s="1887"/>
      <c r="K48" s="1887"/>
      <c r="L48" s="1887"/>
      <c r="M48" s="1887"/>
      <c r="N48" s="1887"/>
    </row>
    <row r="50" spans="1:14" x14ac:dyDescent="0.2">
      <c r="B50" s="853" t="s">
        <v>250</v>
      </c>
      <c r="C50" s="171">
        <v>300</v>
      </c>
      <c r="D50" s="172" t="s">
        <v>96</v>
      </c>
    </row>
    <row r="52" spans="1:14" x14ac:dyDescent="0.2">
      <c r="A52" s="1181" t="str">
        <f>ORÇ!A450</f>
        <v>18.6</v>
      </c>
      <c r="B52" s="1887" t="str">
        <f>ORÇ!D450</f>
        <v>Mapa Tátil em acrílico 70 x 50cm</v>
      </c>
      <c r="C52" s="1887"/>
      <c r="D52" s="1887"/>
      <c r="E52" s="1887"/>
      <c r="F52" s="1887"/>
      <c r="G52" s="1887"/>
      <c r="H52" s="1887"/>
      <c r="I52" s="1887"/>
      <c r="J52" s="1887"/>
      <c r="K52" s="1887"/>
      <c r="L52" s="1887"/>
      <c r="M52" s="1887"/>
      <c r="N52" s="1887"/>
    </row>
    <row r="54" spans="1:14" x14ac:dyDescent="0.2">
      <c r="B54" s="1180" t="s">
        <v>250</v>
      </c>
      <c r="C54" s="171">
        <v>4</v>
      </c>
      <c r="D54" s="172" t="s">
        <v>96</v>
      </c>
    </row>
  </sheetData>
  <mergeCells count="26">
    <mergeCell ref="B4:N4"/>
    <mergeCell ref="B5:G5"/>
    <mergeCell ref="H5:I6"/>
    <mergeCell ref="J5:N6"/>
    <mergeCell ref="B36:E36"/>
    <mergeCell ref="A9:N9"/>
    <mergeCell ref="A10:N10"/>
    <mergeCell ref="A11:N11"/>
    <mergeCell ref="B15:N15"/>
    <mergeCell ref="B18:B20"/>
    <mergeCell ref="A6:A7"/>
    <mergeCell ref="B6:G7"/>
    <mergeCell ref="H7:I7"/>
    <mergeCell ref="B25:N25"/>
    <mergeCell ref="B27:D27"/>
    <mergeCell ref="B31:D31"/>
    <mergeCell ref="A1:N1"/>
    <mergeCell ref="B2:I2"/>
    <mergeCell ref="J2:K2"/>
    <mergeCell ref="L2:N2"/>
    <mergeCell ref="B3:N3"/>
    <mergeCell ref="B52:N52"/>
    <mergeCell ref="B44:N44"/>
    <mergeCell ref="B48:N48"/>
    <mergeCell ref="J7:N7"/>
    <mergeCell ref="B37:N37"/>
  </mergeCells>
  <pageMargins left="0.511811024" right="0.511811024" top="0.78740157499999996" bottom="0.78740157499999996" header="0.31496062000000002" footer="0.31496062000000002"/>
  <pageSetup paperSize="9" scale="63" orientation="portrait" horizontalDpi="4294967293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"/>
  <sheetViews>
    <sheetView view="pageBreakPreview" topLeftCell="A139" zoomScaleNormal="100" zoomScaleSheetLayoutView="100" workbookViewId="0">
      <selection activeCell="L151" sqref="L151"/>
    </sheetView>
  </sheetViews>
  <sheetFormatPr defaultRowHeight="12.75" x14ac:dyDescent="0.2"/>
  <cols>
    <col min="2" max="2" width="19.5703125" customWidth="1"/>
  </cols>
  <sheetData>
    <row r="1" spans="1:15" ht="70.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5" ht="30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5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5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5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5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5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5" s="379" customFormat="1" ht="15.75" thickBot="1" x14ac:dyDescent="0.25">
      <c r="A8" s="428"/>
      <c r="B8" s="429"/>
      <c r="C8" s="429"/>
      <c r="D8" s="429"/>
      <c r="E8" s="429"/>
      <c r="F8" s="429"/>
      <c r="G8" s="429"/>
      <c r="H8" s="430"/>
      <c r="I8" s="430"/>
      <c r="J8" s="431"/>
      <c r="K8" s="431"/>
      <c r="L8" s="431"/>
      <c r="M8" s="431"/>
      <c r="N8" s="431"/>
    </row>
    <row r="9" spans="1:15" ht="13.5" thickBot="1" x14ac:dyDescent="0.25">
      <c r="A9" s="1865" t="s">
        <v>764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6"/>
      <c r="L9" s="1866"/>
      <c r="M9" s="1866"/>
      <c r="N9" s="1867"/>
    </row>
    <row r="10" spans="1:15" ht="13.5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7"/>
    </row>
    <row r="11" spans="1:15" ht="12.75" customHeight="1" thickBot="1" x14ac:dyDescent="0.25">
      <c r="A11" s="2032" t="str">
        <f>ORÇ!D453</f>
        <v>Casa de Bomba e Cisterna</v>
      </c>
      <c r="B11" s="2033"/>
      <c r="C11" s="2033"/>
      <c r="D11" s="2033"/>
      <c r="E11" s="2033"/>
      <c r="F11" s="2033"/>
      <c r="G11" s="2033"/>
      <c r="H11" s="2033"/>
      <c r="I11" s="2033"/>
      <c r="J11" s="2033"/>
      <c r="K11" s="2033"/>
      <c r="L11" s="2033"/>
      <c r="M11" s="2033"/>
      <c r="N11" s="2034"/>
    </row>
    <row r="13" spans="1:15" s="992" customFormat="1" ht="13.5" customHeight="1" x14ac:dyDescent="0.2">
      <c r="A13" s="990">
        <f>ORÇ!A453</f>
        <v>19</v>
      </c>
      <c r="B13" s="2036" t="str">
        <f>ORÇ!D453</f>
        <v>Casa de Bomba e Cisterna</v>
      </c>
      <c r="C13" s="2036"/>
      <c r="D13" s="2036"/>
      <c r="E13" s="2036"/>
      <c r="F13" s="2036"/>
      <c r="G13" s="2036"/>
      <c r="H13" s="2036"/>
      <c r="I13" s="2036"/>
      <c r="J13" s="2036"/>
      <c r="K13" s="2036"/>
      <c r="L13" s="2036"/>
      <c r="M13" s="991"/>
      <c r="N13" s="991"/>
      <c r="O13" s="991"/>
    </row>
    <row r="14" spans="1:15" s="992" customFormat="1" ht="13.5" customHeight="1" x14ac:dyDescent="0.2">
      <c r="A14" s="990" t="str">
        <f>ORÇ!A454</f>
        <v>19.1</v>
      </c>
      <c r="B14" s="2036" t="str">
        <f>[6]CÁLCULO!$F$205</f>
        <v>INFRAESTRUTURA</v>
      </c>
      <c r="C14" s="2036"/>
      <c r="D14" s="2036"/>
      <c r="E14" s="2036"/>
      <c r="F14" s="2036"/>
      <c r="G14" s="2036"/>
      <c r="H14" s="2036"/>
      <c r="I14" s="2036"/>
      <c r="J14" s="2036"/>
      <c r="K14" s="2036"/>
      <c r="L14" s="2036"/>
      <c r="M14" s="991"/>
      <c r="N14" s="991"/>
      <c r="O14" s="991"/>
    </row>
    <row r="15" spans="1:15" s="992" customFormat="1" ht="13.5" customHeight="1" x14ac:dyDescent="0.2">
      <c r="A15" s="990" t="str">
        <f>ORÇ!A455</f>
        <v>19.1.1</v>
      </c>
      <c r="B15" s="2036" t="str">
        <f>ORÇ!D455</f>
        <v>Escavação manual ate 1.50m de profundidade</v>
      </c>
      <c r="C15" s="2036"/>
      <c r="D15" s="2036"/>
      <c r="E15" s="2036"/>
      <c r="F15" s="2036"/>
      <c r="G15" s="2036"/>
      <c r="H15" s="2036"/>
      <c r="I15" s="2036"/>
      <c r="J15" s="2036"/>
      <c r="K15" s="2036"/>
      <c r="L15" s="2036"/>
      <c r="M15" s="991"/>
      <c r="N15" s="991"/>
      <c r="O15" s="991"/>
    </row>
    <row r="16" spans="1:15" s="992" customFormat="1" ht="13.5" customHeight="1" x14ac:dyDescent="0.2">
      <c r="A16" s="990"/>
      <c r="B16" s="2036"/>
      <c r="C16" s="2036"/>
      <c r="D16" s="2036"/>
      <c r="E16" s="2036"/>
      <c r="F16" s="2036"/>
      <c r="G16" s="2036"/>
      <c r="H16" s="2036"/>
      <c r="I16" s="2036"/>
      <c r="J16" s="2036"/>
      <c r="K16" s="2036"/>
      <c r="L16" s="2036"/>
      <c r="M16" s="991"/>
      <c r="N16" s="991"/>
      <c r="O16" s="991"/>
    </row>
    <row r="17" spans="1:15" s="994" customFormat="1" ht="14.25" x14ac:dyDescent="0.2">
      <c r="A17" s="993"/>
      <c r="B17" s="1020"/>
      <c r="C17" s="1021" t="s">
        <v>1031</v>
      </c>
      <c r="D17" s="1021"/>
      <c r="E17" s="1021"/>
      <c r="F17" s="1021"/>
      <c r="G17" s="1021"/>
      <c r="H17" s="1022"/>
      <c r="I17" s="1021"/>
      <c r="J17" s="989"/>
      <c r="K17" s="989"/>
      <c r="L17" s="989"/>
      <c r="M17" s="989"/>
      <c r="N17" s="989"/>
      <c r="O17" s="989"/>
    </row>
    <row r="18" spans="1:15" s="994" customFormat="1" ht="14.25" x14ac:dyDescent="0.2">
      <c r="A18" s="993"/>
      <c r="B18" s="1020"/>
      <c r="C18" s="1023" t="s">
        <v>225</v>
      </c>
      <c r="D18" s="1023"/>
      <c r="E18" s="1023" t="s">
        <v>331</v>
      </c>
      <c r="F18" s="1023"/>
      <c r="G18" s="1023" t="s">
        <v>291</v>
      </c>
      <c r="H18" s="1023"/>
      <c r="I18" s="1023" t="s">
        <v>86</v>
      </c>
      <c r="J18" s="989"/>
      <c r="K18" s="989"/>
      <c r="L18" s="989"/>
      <c r="M18" s="989"/>
      <c r="N18" s="989"/>
      <c r="O18" s="989"/>
    </row>
    <row r="19" spans="1:15" s="994" customFormat="1" ht="14.25" x14ac:dyDescent="0.2">
      <c r="A19" s="995"/>
      <c r="B19" s="1024" t="s">
        <v>1032</v>
      </c>
      <c r="C19" s="1025">
        <f>2.2+0.2</f>
        <v>2.4000000000000004</v>
      </c>
      <c r="D19" s="1025" t="s">
        <v>71</v>
      </c>
      <c r="E19" s="1025">
        <f>1.7+0.2</f>
        <v>1.9</v>
      </c>
      <c r="F19" s="1025" t="s">
        <v>71</v>
      </c>
      <c r="G19" s="1025">
        <v>3.25</v>
      </c>
      <c r="H19" s="1025" t="s">
        <v>72</v>
      </c>
      <c r="I19" s="1025">
        <f>ROUND((C19*E19*G19),2)</f>
        <v>14.82</v>
      </c>
      <c r="J19" s="989"/>
      <c r="K19" s="989"/>
      <c r="L19" s="989"/>
      <c r="M19" s="989"/>
      <c r="N19" s="989"/>
      <c r="O19" s="989"/>
    </row>
    <row r="20" spans="1:15" s="994" customFormat="1" ht="14.25" x14ac:dyDescent="0.2">
      <c r="A20" s="995"/>
      <c r="B20" s="1024" t="s">
        <v>1033</v>
      </c>
      <c r="C20" s="1025">
        <f>2.2+0.2</f>
        <v>2.4000000000000004</v>
      </c>
      <c r="D20" s="1025" t="s">
        <v>71</v>
      </c>
      <c r="E20" s="1025">
        <f>1.7+0.2</f>
        <v>1.9</v>
      </c>
      <c r="F20" s="1025" t="s">
        <v>71</v>
      </c>
      <c r="G20" s="1025">
        <v>3.25</v>
      </c>
      <c r="H20" s="1025" t="s">
        <v>72</v>
      </c>
      <c r="I20" s="1025">
        <f>ROUND((C20*E20*G20),2)</f>
        <v>14.82</v>
      </c>
      <c r="J20" s="989"/>
      <c r="K20" s="989"/>
      <c r="L20" s="989"/>
      <c r="M20" s="989"/>
      <c r="N20" s="989"/>
      <c r="O20" s="989"/>
    </row>
    <row r="21" spans="1:15" s="994" customFormat="1" ht="14.25" x14ac:dyDescent="0.2">
      <c r="A21" s="995"/>
      <c r="B21" s="1020" t="s">
        <v>1034</v>
      </c>
      <c r="C21" s="1020"/>
      <c r="D21" s="1020"/>
      <c r="E21" s="1020"/>
      <c r="F21" s="1020"/>
      <c r="G21" s="1020"/>
      <c r="H21" s="1020"/>
      <c r="I21" s="1020"/>
      <c r="J21" s="989"/>
      <c r="K21" s="989"/>
      <c r="L21" s="989"/>
      <c r="M21" s="989"/>
      <c r="N21" s="989"/>
      <c r="O21" s="989"/>
    </row>
    <row r="22" spans="1:15" s="994" customFormat="1" ht="14.25" x14ac:dyDescent="0.2">
      <c r="A22" s="993"/>
      <c r="B22" s="1024" t="s">
        <v>1494</v>
      </c>
      <c r="C22" s="1025">
        <f>1.7+0.2</f>
        <v>1.9</v>
      </c>
      <c r="D22" s="1025" t="s">
        <v>71</v>
      </c>
      <c r="E22" s="1025">
        <f>1+0.2</f>
        <v>1.2</v>
      </c>
      <c r="F22" s="1025" t="s">
        <v>71</v>
      </c>
      <c r="G22" s="1025">
        <v>1</v>
      </c>
      <c r="H22" s="1025" t="s">
        <v>72</v>
      </c>
      <c r="I22" s="1025">
        <f>ROUND((C22*E22*G22),2)</f>
        <v>2.2799999999999998</v>
      </c>
      <c r="J22" s="989"/>
      <c r="K22" s="989"/>
      <c r="L22" s="989"/>
      <c r="M22" s="989"/>
      <c r="N22" s="989"/>
      <c r="O22" s="989"/>
    </row>
    <row r="23" spans="1:15" s="994" customFormat="1" ht="14.25" x14ac:dyDescent="0.2">
      <c r="A23" s="993"/>
      <c r="B23" s="1024" t="s">
        <v>1495</v>
      </c>
      <c r="C23" s="1025">
        <f>1.7+0.2</f>
        <v>1.9</v>
      </c>
      <c r="D23" s="1025" t="s">
        <v>71</v>
      </c>
      <c r="E23" s="1025">
        <f>1+0.2</f>
        <v>1.2</v>
      </c>
      <c r="F23" s="1025" t="s">
        <v>71</v>
      </c>
      <c r="G23" s="1025">
        <f>G22</f>
        <v>1</v>
      </c>
      <c r="H23" s="1025" t="s">
        <v>72</v>
      </c>
      <c r="I23" s="1025">
        <f>ROUND((C23*E23*G23),2)</f>
        <v>2.2799999999999998</v>
      </c>
      <c r="J23" s="989"/>
      <c r="K23" s="989"/>
      <c r="L23" s="989"/>
      <c r="M23" s="989"/>
      <c r="N23" s="989"/>
      <c r="O23" s="989"/>
    </row>
    <row r="24" spans="1:15" s="994" customFormat="1" ht="14.25" x14ac:dyDescent="0.2">
      <c r="A24" s="993"/>
      <c r="B24" s="1020"/>
      <c r="C24" s="1020"/>
      <c r="D24" s="1020"/>
      <c r="E24" s="1020"/>
      <c r="F24" s="1020"/>
      <c r="G24" s="1020"/>
      <c r="H24" s="1020"/>
      <c r="I24" s="1020"/>
      <c r="J24" s="989"/>
      <c r="K24" s="989"/>
      <c r="L24" s="989"/>
      <c r="M24" s="989"/>
      <c r="N24" s="989"/>
      <c r="O24" s="989"/>
    </row>
    <row r="25" spans="1:15" s="994" customFormat="1" ht="14.25" x14ac:dyDescent="0.2">
      <c r="A25" s="993"/>
      <c r="B25" s="1026" t="s">
        <v>86</v>
      </c>
      <c r="C25" s="1027">
        <f>I19+I20+I22+I23</f>
        <v>34.200000000000003</v>
      </c>
      <c r="D25" s="1028" t="s">
        <v>2</v>
      </c>
      <c r="E25" s="1020"/>
      <c r="F25" s="1020"/>
      <c r="G25" s="1020"/>
      <c r="H25" s="1020"/>
      <c r="I25" s="1020"/>
      <c r="J25" s="989"/>
      <c r="K25" s="989"/>
      <c r="L25" s="989"/>
      <c r="M25" s="989"/>
      <c r="N25" s="989"/>
      <c r="O25" s="989"/>
    </row>
    <row r="26" spans="1:15" s="994" customFormat="1" ht="14.25" x14ac:dyDescent="0.2">
      <c r="A26" s="993"/>
      <c r="B26" s="989"/>
      <c r="C26" s="989"/>
      <c r="D26" s="989"/>
      <c r="E26" s="989"/>
      <c r="F26" s="989"/>
      <c r="G26" s="989"/>
      <c r="H26" s="989"/>
      <c r="I26" s="989"/>
      <c r="J26" s="989"/>
      <c r="K26" s="989"/>
      <c r="L26" s="989"/>
      <c r="M26" s="989"/>
      <c r="N26" s="989"/>
      <c r="O26" s="989"/>
    </row>
    <row r="27" spans="1:15" s="992" customFormat="1" ht="13.5" customHeight="1" x14ac:dyDescent="0.2">
      <c r="A27" s="990" t="str">
        <f>ORÇ!A456</f>
        <v>19.1.2</v>
      </c>
      <c r="B27" s="2038" t="str">
        <f>ORÇ!D456</f>
        <v>LASTRO DE CONCRETO MAGRO, APLICADO EM PISOS, LAJES SOBRE SOLO OU RADIERS, ESPESSURA DE 3 CM. AF_07/2016</v>
      </c>
      <c r="C27" s="2037"/>
      <c r="D27" s="2037"/>
      <c r="E27" s="2037"/>
      <c r="F27" s="2037"/>
      <c r="G27" s="2037"/>
      <c r="H27" s="2037"/>
      <c r="I27" s="2037"/>
      <c r="J27" s="2037"/>
      <c r="K27" s="2037"/>
      <c r="L27" s="2037"/>
      <c r="M27" s="991"/>
      <c r="N27" s="991"/>
      <c r="O27" s="991"/>
    </row>
    <row r="28" spans="1:15" s="992" customFormat="1" ht="14.25" x14ac:dyDescent="0.2">
      <c r="A28" s="993"/>
      <c r="B28" s="996"/>
      <c r="C28" s="996"/>
      <c r="D28" s="996"/>
      <c r="E28" s="996"/>
      <c r="F28" s="996"/>
      <c r="G28" s="996"/>
      <c r="H28" s="996"/>
      <c r="I28" s="996"/>
      <c r="J28" s="996"/>
      <c r="K28" s="996"/>
      <c r="L28" s="996"/>
      <c r="M28" s="991"/>
      <c r="N28" s="991"/>
      <c r="O28" s="991"/>
    </row>
    <row r="29" spans="1:15" s="994" customFormat="1" ht="14.25" x14ac:dyDescent="0.2">
      <c r="A29" s="993"/>
      <c r="B29" s="1020"/>
      <c r="C29" s="2039" t="s">
        <v>1036</v>
      </c>
      <c r="D29" s="2039"/>
      <c r="E29" s="2039"/>
      <c r="F29" s="2039"/>
      <c r="G29" s="2039"/>
      <c r="H29" s="996"/>
      <c r="I29" s="996"/>
      <c r="J29" s="996"/>
      <c r="K29" s="996"/>
      <c r="L29" s="996"/>
      <c r="M29" s="989"/>
      <c r="N29" s="989"/>
      <c r="O29" s="989"/>
    </row>
    <row r="30" spans="1:15" s="994" customFormat="1" ht="14.25" x14ac:dyDescent="0.2">
      <c r="A30" s="993"/>
      <c r="B30" s="1020"/>
      <c r="C30" s="1025" t="s">
        <v>225</v>
      </c>
      <c r="D30" s="1025"/>
      <c r="E30" s="1025" t="s">
        <v>331</v>
      </c>
      <c r="F30" s="1025"/>
      <c r="G30" s="1025" t="s">
        <v>86</v>
      </c>
      <c r="H30" s="996"/>
      <c r="I30" s="996"/>
      <c r="J30" s="996"/>
      <c r="K30" s="996"/>
      <c r="L30" s="996"/>
      <c r="M30" s="989"/>
      <c r="N30" s="989"/>
      <c r="O30" s="989"/>
    </row>
    <row r="31" spans="1:15" s="994" customFormat="1" ht="14.25" x14ac:dyDescent="0.2">
      <c r="A31" s="995"/>
      <c r="B31" s="1024" t="s">
        <v>1032</v>
      </c>
      <c r="C31" s="1025">
        <f>C19</f>
        <v>2.4000000000000004</v>
      </c>
      <c r="D31" s="1025" t="s">
        <v>71</v>
      </c>
      <c r="E31" s="1025">
        <f>E19</f>
        <v>1.9</v>
      </c>
      <c r="F31" s="1029" t="s">
        <v>72</v>
      </c>
      <c r="G31" s="1025">
        <f>ROUND((E31*C31),2)</f>
        <v>4.5599999999999996</v>
      </c>
      <c r="H31" s="996"/>
      <c r="I31" s="996"/>
      <c r="J31" s="996"/>
      <c r="K31" s="996"/>
      <c r="L31" s="996"/>
      <c r="M31" s="989"/>
      <c r="N31" s="989"/>
      <c r="O31" s="989"/>
    </row>
    <row r="32" spans="1:15" s="994" customFormat="1" ht="14.25" x14ac:dyDescent="0.2">
      <c r="A32" s="995"/>
      <c r="B32" s="1024" t="s">
        <v>1033</v>
      </c>
      <c r="C32" s="1025">
        <f>C20</f>
        <v>2.4000000000000004</v>
      </c>
      <c r="D32" s="1025" t="s">
        <v>71</v>
      </c>
      <c r="E32" s="1025">
        <f>E20</f>
        <v>1.9</v>
      </c>
      <c r="F32" s="1029" t="s">
        <v>72</v>
      </c>
      <c r="G32" s="1025">
        <f>ROUND((E32*C32),2)</f>
        <v>4.5599999999999996</v>
      </c>
      <c r="H32" s="996"/>
      <c r="I32" s="996"/>
      <c r="J32" s="996"/>
      <c r="K32" s="996"/>
      <c r="L32" s="996"/>
      <c r="M32" s="989"/>
      <c r="N32" s="989"/>
      <c r="O32" s="989"/>
    </row>
    <row r="33" spans="1:15" s="994" customFormat="1" ht="14.25" x14ac:dyDescent="0.2">
      <c r="A33" s="995"/>
      <c r="B33" s="1020"/>
      <c r="C33" s="1020"/>
      <c r="D33" s="1020"/>
      <c r="E33" s="1025"/>
      <c r="F33" s="1020"/>
      <c r="G33" s="1020"/>
      <c r="H33" s="996"/>
      <c r="I33" s="996"/>
      <c r="J33" s="996"/>
      <c r="K33" s="996"/>
      <c r="L33" s="996"/>
      <c r="M33" s="989"/>
      <c r="N33" s="989"/>
      <c r="O33" s="989"/>
    </row>
    <row r="34" spans="1:15" s="992" customFormat="1" ht="14.25" x14ac:dyDescent="0.2">
      <c r="A34" s="993"/>
      <c r="B34" s="1024" t="s">
        <v>1494</v>
      </c>
      <c r="C34" s="1025">
        <f>C22</f>
        <v>1.9</v>
      </c>
      <c r="D34" s="1025" t="s">
        <v>71</v>
      </c>
      <c r="E34" s="1025">
        <f>E22</f>
        <v>1.2</v>
      </c>
      <c r="F34" s="1025" t="s">
        <v>72</v>
      </c>
      <c r="G34" s="1025">
        <f>ROUND((E34*C34),2)</f>
        <v>2.2799999999999998</v>
      </c>
      <c r="H34" s="996"/>
      <c r="I34" s="996"/>
      <c r="J34" s="996"/>
      <c r="K34" s="996"/>
      <c r="L34" s="996"/>
      <c r="M34" s="991"/>
      <c r="N34" s="991"/>
      <c r="O34" s="991"/>
    </row>
    <row r="35" spans="1:15" s="992" customFormat="1" ht="14.25" x14ac:dyDescent="0.2">
      <c r="A35" s="993"/>
      <c r="B35" s="1024" t="s">
        <v>1495</v>
      </c>
      <c r="C35" s="1025">
        <f>C23</f>
        <v>1.9</v>
      </c>
      <c r="D35" s="1025" t="s">
        <v>71</v>
      </c>
      <c r="E35" s="1025">
        <f>E23</f>
        <v>1.2</v>
      </c>
      <c r="F35" s="1025" t="s">
        <v>72</v>
      </c>
      <c r="G35" s="1025">
        <f>ROUND((E35*C35),2)</f>
        <v>2.2799999999999998</v>
      </c>
      <c r="H35" s="996"/>
      <c r="I35" s="996"/>
      <c r="J35" s="996"/>
      <c r="K35" s="996"/>
      <c r="L35" s="996"/>
      <c r="M35" s="991"/>
      <c r="N35" s="991"/>
      <c r="O35" s="991"/>
    </row>
    <row r="36" spans="1:15" s="992" customFormat="1" ht="14.25" x14ac:dyDescent="0.2">
      <c r="A36" s="993"/>
      <c r="B36" s="1030"/>
      <c r="C36" s="1030"/>
      <c r="D36" s="1030"/>
      <c r="E36" s="1030"/>
      <c r="F36" s="1030"/>
      <c r="G36" s="1030"/>
      <c r="H36" s="996"/>
      <c r="I36" s="996"/>
      <c r="J36" s="996"/>
      <c r="K36" s="996"/>
      <c r="L36" s="996"/>
      <c r="M36" s="991"/>
      <c r="N36" s="991"/>
      <c r="O36" s="991"/>
    </row>
    <row r="37" spans="1:15" s="992" customFormat="1" ht="14.25" x14ac:dyDescent="0.2">
      <c r="A37" s="993"/>
      <c r="B37" s="1026" t="s">
        <v>1035</v>
      </c>
      <c r="C37" s="1027">
        <f>SUM(G34:G35,G31,G32)</f>
        <v>13.68</v>
      </c>
      <c r="D37" s="1028" t="s">
        <v>6</v>
      </c>
      <c r="E37" s="1031"/>
      <c r="F37" s="1031"/>
      <c r="G37" s="1031"/>
      <c r="H37" s="997"/>
      <c r="I37" s="997"/>
      <c r="J37" s="997"/>
      <c r="K37" s="998"/>
      <c r="L37" s="996"/>
      <c r="M37" s="991"/>
      <c r="N37" s="991"/>
      <c r="O37" s="991"/>
    </row>
    <row r="38" spans="1:15" s="992" customFormat="1" ht="14.25" x14ac:dyDescent="0.2">
      <c r="A38" s="993"/>
      <c r="B38" s="996"/>
      <c r="C38" s="996"/>
      <c r="D38" s="996"/>
      <c r="E38" s="996"/>
      <c r="F38" s="996"/>
      <c r="G38" s="996"/>
      <c r="H38" s="996"/>
      <c r="I38" s="996"/>
      <c r="J38" s="996"/>
      <c r="K38" s="996"/>
      <c r="L38" s="996"/>
      <c r="M38" s="991"/>
      <c r="N38" s="991"/>
      <c r="O38" s="991"/>
    </row>
    <row r="39" spans="1:15" s="992" customFormat="1" ht="43.5" customHeight="1" x14ac:dyDescent="0.2">
      <c r="A39" s="999" t="str">
        <f>ORÇ!A457</f>
        <v>19.1.3</v>
      </c>
      <c r="B39" s="2040" t="str">
        <f>ORÇ!D457</f>
        <v xml:space="preserve">MONTAGEM E DESMONTAGEM DE FÔRMA DE PILARES RETANGULARES E ESTRUTURAS SIMILARES, PÉ-DIREITO SIMPLES, EM MADEIRA SERRADA, 2 UTILIZAÇÕES. AF_09/2020 </v>
      </c>
      <c r="C39" s="2041"/>
      <c r="D39" s="2041"/>
      <c r="E39" s="2041"/>
      <c r="F39" s="2041"/>
      <c r="G39" s="2041"/>
      <c r="H39" s="2041"/>
      <c r="I39" s="2041"/>
      <c r="J39" s="2041"/>
      <c r="K39" s="2041"/>
      <c r="L39" s="2041"/>
      <c r="M39" s="991"/>
      <c r="N39" s="991"/>
      <c r="O39" s="991"/>
    </row>
    <row r="40" spans="1:15" s="992" customFormat="1" ht="14.25" x14ac:dyDescent="0.2">
      <c r="A40" s="993"/>
      <c r="B40" s="996"/>
      <c r="C40" s="996"/>
      <c r="D40" s="996"/>
      <c r="E40" s="996"/>
      <c r="F40" s="996"/>
      <c r="G40" s="996"/>
      <c r="H40" s="996"/>
      <c r="I40" s="996"/>
      <c r="J40" s="996"/>
      <c r="K40" s="996"/>
      <c r="L40" s="996"/>
      <c r="M40" s="991"/>
      <c r="N40" s="991"/>
      <c r="O40" s="991"/>
    </row>
    <row r="41" spans="1:15" s="992" customFormat="1" ht="14.25" x14ac:dyDescent="0.2">
      <c r="A41" s="993"/>
      <c r="B41" s="1035"/>
      <c r="C41" s="1021" t="s">
        <v>1037</v>
      </c>
      <c r="D41" s="1021"/>
      <c r="E41" s="1021"/>
      <c r="F41" s="1021"/>
      <c r="G41" s="1021"/>
      <c r="H41" s="1030"/>
      <c r="I41" s="1030"/>
      <c r="J41" s="996"/>
      <c r="K41" s="996"/>
      <c r="L41" s="996"/>
      <c r="M41" s="991"/>
      <c r="N41" s="991"/>
      <c r="O41" s="991"/>
    </row>
    <row r="42" spans="1:15" s="992" customFormat="1" ht="14.25" x14ac:dyDescent="0.2">
      <c r="A42" s="993"/>
      <c r="B42" s="1035"/>
      <c r="C42" s="1025" t="s">
        <v>1038</v>
      </c>
      <c r="D42" s="1025"/>
      <c r="E42" s="1025" t="s">
        <v>291</v>
      </c>
      <c r="F42" s="1025"/>
      <c r="G42" s="1025" t="s">
        <v>1039</v>
      </c>
      <c r="H42" s="1030"/>
      <c r="I42" s="1030"/>
      <c r="J42" s="996"/>
      <c r="K42" s="996"/>
      <c r="L42" s="996"/>
      <c r="M42" s="991"/>
      <c r="N42" s="991"/>
      <c r="O42" s="991"/>
    </row>
    <row r="43" spans="1:15" s="992" customFormat="1" ht="14.25" x14ac:dyDescent="0.2">
      <c r="A43" s="993"/>
      <c r="B43" s="1024" t="s">
        <v>1032</v>
      </c>
      <c r="C43" s="1025">
        <v>6.8</v>
      </c>
      <c r="D43" s="1025" t="s">
        <v>71</v>
      </c>
      <c r="E43" s="1025">
        <v>3</v>
      </c>
      <c r="F43" s="1025" t="s">
        <v>72</v>
      </c>
      <c r="G43" s="1029">
        <f>ROUND((C43*E43),2)</f>
        <v>20.399999999999999</v>
      </c>
      <c r="H43" s="1030" t="s">
        <v>1040</v>
      </c>
      <c r="I43" s="1030"/>
      <c r="J43" s="996"/>
      <c r="K43" s="996"/>
      <c r="L43" s="996"/>
      <c r="M43" s="991"/>
      <c r="N43" s="991"/>
      <c r="O43" s="991"/>
    </row>
    <row r="44" spans="1:15" s="992" customFormat="1" ht="14.25" x14ac:dyDescent="0.2">
      <c r="A44" s="993"/>
      <c r="B44" s="1024" t="s">
        <v>1033</v>
      </c>
      <c r="C44" s="1025">
        <v>6.8</v>
      </c>
      <c r="D44" s="1025" t="s">
        <v>71</v>
      </c>
      <c r="E44" s="1025">
        <v>3</v>
      </c>
      <c r="F44" s="1025" t="s">
        <v>72</v>
      </c>
      <c r="G44" s="1029">
        <f>ROUND((C44*E44),2)</f>
        <v>20.399999999999999</v>
      </c>
      <c r="H44" s="1030" t="s">
        <v>1040</v>
      </c>
      <c r="I44" s="1030"/>
      <c r="J44" s="996"/>
      <c r="K44" s="996"/>
      <c r="L44" s="996"/>
      <c r="M44" s="991"/>
      <c r="N44" s="991"/>
      <c r="O44" s="991"/>
    </row>
    <row r="45" spans="1:15" s="992" customFormat="1" ht="14.25" x14ac:dyDescent="0.2">
      <c r="A45" s="993"/>
      <c r="B45" s="1024" t="s">
        <v>1494</v>
      </c>
      <c r="C45" s="1025">
        <v>4.4000000000000004</v>
      </c>
      <c r="D45" s="1025" t="s">
        <v>71</v>
      </c>
      <c r="E45" s="1025">
        <v>0.9</v>
      </c>
      <c r="F45" s="1025" t="s">
        <v>72</v>
      </c>
      <c r="G45" s="1029">
        <f>ROUND((C45*E45),2)</f>
        <v>3.96</v>
      </c>
      <c r="H45" s="1030"/>
      <c r="I45" s="1030"/>
      <c r="J45" s="996"/>
      <c r="K45" s="996"/>
      <c r="L45" s="996"/>
      <c r="M45" s="991"/>
      <c r="N45" s="991"/>
      <c r="O45" s="991"/>
    </row>
    <row r="46" spans="1:15" s="992" customFormat="1" ht="14.25" x14ac:dyDescent="0.2">
      <c r="A46" s="993"/>
      <c r="B46" s="1024" t="s">
        <v>1495</v>
      </c>
      <c r="C46" s="1025">
        <f>C45</f>
        <v>4.4000000000000004</v>
      </c>
      <c r="D46" s="1025" t="s">
        <v>71</v>
      </c>
      <c r="E46" s="1025">
        <f>E45</f>
        <v>0.9</v>
      </c>
      <c r="F46" s="1025" t="s">
        <v>72</v>
      </c>
      <c r="G46" s="1029">
        <f>ROUND((C46*E46),2)</f>
        <v>3.96</v>
      </c>
      <c r="H46" s="1030"/>
      <c r="I46" s="1030"/>
      <c r="J46" s="996"/>
      <c r="K46" s="996"/>
      <c r="L46" s="996"/>
      <c r="M46" s="991"/>
      <c r="N46" s="991"/>
      <c r="O46" s="991"/>
    </row>
    <row r="47" spans="1:15" s="992" customFormat="1" ht="14.25" x14ac:dyDescent="0.2">
      <c r="A47" s="993"/>
      <c r="B47" s="1020"/>
      <c r="C47" s="1024" t="s">
        <v>1041</v>
      </c>
      <c r="D47" s="1020"/>
      <c r="E47" s="1025" t="s">
        <v>1042</v>
      </c>
      <c r="F47" s="1020"/>
      <c r="G47" s="1025" t="s">
        <v>1039</v>
      </c>
      <c r="H47" s="1030"/>
      <c r="I47" s="1030"/>
      <c r="J47" s="996"/>
      <c r="K47" s="996"/>
      <c r="L47" s="996"/>
      <c r="M47" s="991"/>
      <c r="N47" s="991"/>
      <c r="O47" s="991"/>
    </row>
    <row r="48" spans="1:15" s="992" customFormat="1" ht="14.25" x14ac:dyDescent="0.2">
      <c r="A48" s="993"/>
      <c r="B48" s="1024" t="s">
        <v>1032</v>
      </c>
      <c r="C48" s="1025">
        <f>2.2+2.2+1.7+1.7</f>
        <v>7.8000000000000007</v>
      </c>
      <c r="D48" s="1025" t="s">
        <v>71</v>
      </c>
      <c r="E48" s="1025">
        <f>G19</f>
        <v>3.25</v>
      </c>
      <c r="F48" s="1025" t="s">
        <v>72</v>
      </c>
      <c r="G48" s="1029">
        <f t="shared" ref="G48:G50" si="0">ROUND((C48*E48),2)</f>
        <v>25.35</v>
      </c>
      <c r="H48" s="1030" t="s">
        <v>1043</v>
      </c>
      <c r="I48" s="1030"/>
      <c r="J48" s="996"/>
      <c r="K48" s="996"/>
      <c r="L48" s="996"/>
      <c r="M48" s="991"/>
      <c r="N48" s="991"/>
      <c r="O48" s="991"/>
    </row>
    <row r="49" spans="1:15" s="992" customFormat="1" ht="14.25" x14ac:dyDescent="0.2">
      <c r="A49" s="1000"/>
      <c r="B49" s="1024" t="s">
        <v>1033</v>
      </c>
      <c r="C49" s="1025">
        <f>2.2+2.2+1.7+1.7</f>
        <v>7.8000000000000007</v>
      </c>
      <c r="D49" s="1025" t="s">
        <v>71</v>
      </c>
      <c r="E49" s="1025">
        <f>G20</f>
        <v>3.25</v>
      </c>
      <c r="F49" s="1025" t="s">
        <v>72</v>
      </c>
      <c r="G49" s="1029">
        <f t="shared" si="0"/>
        <v>25.35</v>
      </c>
      <c r="H49" s="1030" t="s">
        <v>1043</v>
      </c>
      <c r="I49" s="1030"/>
      <c r="J49" s="996"/>
      <c r="K49" s="996"/>
      <c r="L49" s="996"/>
      <c r="M49" s="991"/>
      <c r="N49" s="991"/>
      <c r="O49" s="991"/>
    </row>
    <row r="50" spans="1:15" s="992" customFormat="1" ht="14.25" x14ac:dyDescent="0.2">
      <c r="A50" s="1000"/>
      <c r="B50" s="1024" t="s">
        <v>1494</v>
      </c>
      <c r="C50" s="1025">
        <f>1.7+1.7+1+1</f>
        <v>5.4</v>
      </c>
      <c r="D50" s="1025" t="s">
        <v>71</v>
      </c>
      <c r="E50" s="1025">
        <v>0.95</v>
      </c>
      <c r="F50" s="1025" t="s">
        <v>72</v>
      </c>
      <c r="G50" s="1029">
        <f t="shared" si="0"/>
        <v>5.13</v>
      </c>
      <c r="H50" s="1030"/>
      <c r="I50" s="1030"/>
      <c r="J50" s="996"/>
      <c r="K50" s="996"/>
      <c r="L50" s="996"/>
      <c r="M50" s="991"/>
      <c r="N50" s="991"/>
      <c r="O50" s="991"/>
    </row>
    <row r="51" spans="1:15" s="992" customFormat="1" ht="14.25" x14ac:dyDescent="0.2">
      <c r="A51" s="1000"/>
      <c r="B51" s="1024" t="s">
        <v>1495</v>
      </c>
      <c r="C51" s="1025">
        <f>C50</f>
        <v>5.4</v>
      </c>
      <c r="D51" s="1025" t="s">
        <v>71</v>
      </c>
      <c r="E51" s="1025">
        <f>E50</f>
        <v>0.95</v>
      </c>
      <c r="F51" s="1025" t="s">
        <v>72</v>
      </c>
      <c r="G51" s="1029">
        <f t="shared" ref="G51" si="1">ROUND((C51*E51),2)</f>
        <v>5.13</v>
      </c>
      <c r="H51" s="1030"/>
      <c r="I51" s="1030"/>
      <c r="J51" s="996"/>
      <c r="K51" s="996"/>
      <c r="L51" s="996"/>
      <c r="M51" s="991"/>
      <c r="N51" s="991"/>
      <c r="O51" s="991"/>
    </row>
    <row r="52" spans="1:15" s="992" customFormat="1" ht="14.25" x14ac:dyDescent="0.2">
      <c r="A52" s="993"/>
      <c r="B52" s="1030"/>
      <c r="C52" s="1030"/>
      <c r="D52" s="1030"/>
      <c r="E52" s="1030"/>
      <c r="F52" s="1030"/>
      <c r="G52" s="1030"/>
      <c r="H52" s="1030"/>
      <c r="I52" s="1030"/>
      <c r="J52" s="996"/>
      <c r="K52" s="996"/>
      <c r="L52" s="996"/>
      <c r="M52" s="991"/>
      <c r="N52" s="991"/>
      <c r="O52" s="991"/>
    </row>
    <row r="53" spans="1:15" s="992" customFormat="1" ht="14.25" x14ac:dyDescent="0.2">
      <c r="A53" s="993"/>
      <c r="B53" s="1026" t="s">
        <v>1044</v>
      </c>
      <c r="C53" s="1055">
        <f>SUM(G43:G46,G48:G51)</f>
        <v>109.67999999999998</v>
      </c>
      <c r="D53" s="1028" t="s">
        <v>6</v>
      </c>
      <c r="E53" s="1030"/>
      <c r="F53" s="1030"/>
      <c r="G53" s="1030"/>
      <c r="H53" s="1030"/>
      <c r="I53" s="1030"/>
      <c r="J53" s="996"/>
      <c r="K53" s="996"/>
      <c r="L53" s="996"/>
      <c r="M53" s="991"/>
      <c r="N53" s="991"/>
      <c r="O53" s="991"/>
    </row>
    <row r="54" spans="1:15" s="992" customFormat="1" ht="14.25" x14ac:dyDescent="0.2">
      <c r="A54" s="993"/>
      <c r="B54" s="1030"/>
      <c r="C54" s="1030"/>
      <c r="D54" s="1030"/>
      <c r="E54" s="1030"/>
      <c r="F54" s="1030"/>
      <c r="G54" s="1030"/>
      <c r="H54" s="1030"/>
      <c r="I54" s="1030"/>
      <c r="J54" s="996"/>
      <c r="K54" s="996"/>
      <c r="L54" s="996"/>
      <c r="M54" s="991"/>
      <c r="N54" s="991"/>
      <c r="O54" s="991"/>
    </row>
    <row r="55" spans="1:15" s="992" customFormat="1" ht="13.5" customHeight="1" x14ac:dyDescent="0.2">
      <c r="A55" s="990" t="str">
        <f>ORÇ!A458</f>
        <v>19.1.4</v>
      </c>
      <c r="B55" s="2042" t="str">
        <f>ORÇ!D458</f>
        <v xml:space="preserve">CONCRETO FCK = 20MPA, TRAÇO 1:2,7:3 (EM MASSA SECA DE CIMENTO/ AREIA MÉDIA/ BRITA 1) - PREPARO MECÂNICO COM BETONEIRA 600 L. AF_05/2021 </v>
      </c>
      <c r="C55" s="2042"/>
      <c r="D55" s="2042"/>
      <c r="E55" s="2042"/>
      <c r="F55" s="2042"/>
      <c r="G55" s="2042"/>
      <c r="H55" s="2042"/>
      <c r="I55" s="2042"/>
      <c r="J55" s="2042"/>
      <c r="K55" s="2042"/>
      <c r="L55" s="2042"/>
      <c r="M55" s="991"/>
      <c r="N55" s="991"/>
      <c r="O55" s="991"/>
    </row>
    <row r="56" spans="1:15" s="992" customFormat="1" ht="14.25" x14ac:dyDescent="0.2">
      <c r="A56" s="993"/>
      <c r="B56" s="996"/>
      <c r="C56" s="996"/>
      <c r="D56" s="996"/>
      <c r="E56" s="996"/>
      <c r="F56" s="996"/>
      <c r="G56" s="996"/>
      <c r="H56" s="996"/>
      <c r="I56" s="996"/>
      <c r="J56" s="996"/>
      <c r="K56" s="996"/>
      <c r="L56" s="996"/>
      <c r="M56" s="991"/>
      <c r="N56" s="991"/>
      <c r="O56" s="991"/>
    </row>
    <row r="57" spans="1:15" s="992" customFormat="1" ht="14.25" x14ac:dyDescent="0.2">
      <c r="A57" s="993"/>
      <c r="B57" s="1020"/>
      <c r="C57" s="1036" t="s">
        <v>1045</v>
      </c>
      <c r="D57" s="1036"/>
      <c r="E57" s="1036" t="s">
        <v>1046</v>
      </c>
      <c r="F57" s="1036"/>
      <c r="G57" s="1036" t="s">
        <v>291</v>
      </c>
      <c r="H57" s="1036"/>
      <c r="I57" s="1036" t="s">
        <v>86</v>
      </c>
      <c r="J57" s="1030"/>
      <c r="K57" s="996"/>
      <c r="L57" s="996"/>
      <c r="M57" s="991"/>
      <c r="N57" s="991"/>
      <c r="O57" s="991"/>
    </row>
    <row r="58" spans="1:15" s="992" customFormat="1" ht="25.5" x14ac:dyDescent="0.2">
      <c r="A58" s="993"/>
      <c r="B58" s="1052" t="s">
        <v>1047</v>
      </c>
      <c r="C58" s="1053">
        <f>C48</f>
        <v>7.8000000000000007</v>
      </c>
      <c r="D58" s="1053" t="s">
        <v>71</v>
      </c>
      <c r="E58" s="1053">
        <v>0.1</v>
      </c>
      <c r="F58" s="1053" t="s">
        <v>71</v>
      </c>
      <c r="G58" s="1053">
        <f>E48</f>
        <v>3.25</v>
      </c>
      <c r="H58" s="1053" t="s">
        <v>72</v>
      </c>
      <c r="I58" s="1053">
        <f>ROUND((C58*E58*G58),2)</f>
        <v>2.54</v>
      </c>
      <c r="J58" s="1030"/>
      <c r="K58" s="996"/>
      <c r="L58" s="996"/>
      <c r="M58" s="991"/>
      <c r="N58" s="991"/>
      <c r="O58" s="991"/>
    </row>
    <row r="59" spans="1:15" s="992" customFormat="1" ht="25.5" x14ac:dyDescent="0.2">
      <c r="A59" s="993"/>
      <c r="B59" s="1052" t="s">
        <v>1048</v>
      </c>
      <c r="C59" s="1053">
        <f>C49</f>
        <v>7.8000000000000007</v>
      </c>
      <c r="D59" s="1053" t="s">
        <v>71</v>
      </c>
      <c r="E59" s="1053">
        <v>0.1</v>
      </c>
      <c r="F59" s="1053" t="s">
        <v>71</v>
      </c>
      <c r="G59" s="1053">
        <f>E49</f>
        <v>3.25</v>
      </c>
      <c r="H59" s="1053" t="s">
        <v>72</v>
      </c>
      <c r="I59" s="1053">
        <f>ROUND((C59*E59*G59),2)</f>
        <v>2.54</v>
      </c>
      <c r="J59" s="1030"/>
      <c r="K59" s="996"/>
      <c r="L59" s="996"/>
      <c r="M59" s="991"/>
      <c r="N59" s="991"/>
      <c r="O59" s="991"/>
    </row>
    <row r="60" spans="1:15" s="992" customFormat="1" ht="25.5" x14ac:dyDescent="0.2">
      <c r="A60" s="993"/>
      <c r="B60" s="1052" t="s">
        <v>1496</v>
      </c>
      <c r="C60" s="1053">
        <f>C50</f>
        <v>5.4</v>
      </c>
      <c r="D60" s="1053" t="s">
        <v>71</v>
      </c>
      <c r="E60" s="1053">
        <v>0.1</v>
      </c>
      <c r="F60" s="1053" t="s">
        <v>71</v>
      </c>
      <c r="G60" s="1053">
        <f>E50</f>
        <v>0.95</v>
      </c>
      <c r="H60" s="1053" t="s">
        <v>72</v>
      </c>
      <c r="I60" s="1053">
        <f>ROUND((C60*E60*G60),2)</f>
        <v>0.51</v>
      </c>
      <c r="J60" s="1030"/>
      <c r="K60" s="996"/>
      <c r="L60" s="996"/>
      <c r="M60" s="991"/>
      <c r="N60" s="991"/>
      <c r="O60" s="991"/>
    </row>
    <row r="61" spans="1:15" s="992" customFormat="1" ht="25.5" x14ac:dyDescent="0.2">
      <c r="A61" s="993"/>
      <c r="B61" s="1052" t="s">
        <v>1500</v>
      </c>
      <c r="C61" s="1053">
        <f>C51</f>
        <v>5.4</v>
      </c>
      <c r="D61" s="1053" t="s">
        <v>71</v>
      </c>
      <c r="E61" s="1053">
        <f>E60</f>
        <v>0.1</v>
      </c>
      <c r="F61" s="1053" t="s">
        <v>71</v>
      </c>
      <c r="G61" s="1053">
        <f>E51</f>
        <v>0.95</v>
      </c>
      <c r="H61" s="1053" t="s">
        <v>72</v>
      </c>
      <c r="I61" s="1053">
        <f>ROUND((C61*E61*G61),2)</f>
        <v>0.51</v>
      </c>
      <c r="J61" s="1030"/>
      <c r="K61" s="996"/>
      <c r="L61" s="996"/>
      <c r="M61" s="991"/>
      <c r="N61" s="991"/>
      <c r="O61" s="991"/>
    </row>
    <row r="62" spans="1:15" s="992" customFormat="1" ht="14.25" x14ac:dyDescent="0.2">
      <c r="A62" s="1001"/>
      <c r="B62" s="1031"/>
      <c r="C62" s="1034"/>
      <c r="D62" s="1034"/>
      <c r="E62" s="1030"/>
      <c r="F62" s="1030"/>
      <c r="G62" s="1030"/>
      <c r="H62" s="1030"/>
      <c r="I62" s="1054"/>
      <c r="J62" s="1030"/>
      <c r="K62" s="996"/>
      <c r="L62" s="996"/>
      <c r="M62" s="991"/>
      <c r="N62" s="991"/>
      <c r="O62" s="991"/>
    </row>
    <row r="63" spans="1:15" s="992" customFormat="1" ht="14.25" x14ac:dyDescent="0.2">
      <c r="A63" s="1001"/>
      <c r="B63" s="1020"/>
      <c r="C63" s="1036" t="s">
        <v>1049</v>
      </c>
      <c r="D63" s="1036"/>
      <c r="E63" s="1036" t="s">
        <v>1046</v>
      </c>
      <c r="F63" s="1036"/>
      <c r="G63" s="1036" t="s">
        <v>86</v>
      </c>
      <c r="H63" s="1030"/>
      <c r="I63" s="1030"/>
      <c r="J63" s="1030"/>
      <c r="K63" s="996"/>
      <c r="L63" s="996"/>
      <c r="M63" s="991"/>
      <c r="N63" s="991"/>
      <c r="O63" s="991"/>
    </row>
    <row r="64" spans="1:15" s="992" customFormat="1" ht="25.5" x14ac:dyDescent="0.2">
      <c r="A64" s="1001"/>
      <c r="B64" s="1052" t="s">
        <v>1050</v>
      </c>
      <c r="C64" s="1053">
        <f>1.7*2.2</f>
        <v>3.74</v>
      </c>
      <c r="D64" s="1053" t="s">
        <v>71</v>
      </c>
      <c r="E64" s="1053">
        <v>0.1</v>
      </c>
      <c r="F64" s="1053" t="s">
        <v>72</v>
      </c>
      <c r="G64" s="1053">
        <f>ROUND((C64*E64),2)</f>
        <v>0.37</v>
      </c>
      <c r="H64" s="1030"/>
      <c r="I64" s="1030"/>
      <c r="J64" s="1030"/>
      <c r="K64" s="996"/>
      <c r="L64" s="996"/>
      <c r="M64" s="991"/>
      <c r="N64" s="991"/>
      <c r="O64" s="991"/>
    </row>
    <row r="65" spans="1:15" s="992" customFormat="1" ht="25.5" x14ac:dyDescent="0.2">
      <c r="A65" s="1001"/>
      <c r="B65" s="1052" t="s">
        <v>1051</v>
      </c>
      <c r="C65" s="1053">
        <f>1.7*2.2</f>
        <v>3.74</v>
      </c>
      <c r="D65" s="1053" t="s">
        <v>71</v>
      </c>
      <c r="E65" s="1053">
        <v>0.1</v>
      </c>
      <c r="F65" s="1053" t="s">
        <v>72</v>
      </c>
      <c r="G65" s="1053">
        <f>ROUND((C65*E65),2)</f>
        <v>0.37</v>
      </c>
      <c r="H65" s="1030"/>
      <c r="I65" s="1030"/>
      <c r="J65" s="1030"/>
      <c r="K65" s="996"/>
      <c r="L65" s="996"/>
      <c r="M65" s="991"/>
      <c r="N65" s="991"/>
      <c r="O65" s="991"/>
    </row>
    <row r="66" spans="1:15" s="992" customFormat="1" ht="25.5" x14ac:dyDescent="0.2">
      <c r="A66" s="1001"/>
      <c r="B66" s="1052" t="s">
        <v>1497</v>
      </c>
      <c r="C66" s="1053">
        <f>1.7*1</f>
        <v>1.7</v>
      </c>
      <c r="D66" s="1053" t="s">
        <v>71</v>
      </c>
      <c r="E66" s="1053">
        <v>0.1</v>
      </c>
      <c r="F66" s="1053" t="s">
        <v>72</v>
      </c>
      <c r="G66" s="1053">
        <f>ROUND((C66*E66),2)</f>
        <v>0.17</v>
      </c>
      <c r="H66" s="1030"/>
      <c r="I66" s="1030"/>
      <c r="J66" s="1030"/>
      <c r="K66" s="996"/>
      <c r="L66" s="996"/>
      <c r="M66" s="991"/>
      <c r="N66" s="991"/>
      <c r="O66" s="991"/>
    </row>
    <row r="67" spans="1:15" s="992" customFormat="1" ht="25.5" x14ac:dyDescent="0.2">
      <c r="A67" s="1001"/>
      <c r="B67" s="1052" t="s">
        <v>1499</v>
      </c>
      <c r="C67" s="1053">
        <f>C66</f>
        <v>1.7</v>
      </c>
      <c r="D67" s="1053" t="s">
        <v>71</v>
      </c>
      <c r="E67" s="1053">
        <f>E66</f>
        <v>0.1</v>
      </c>
      <c r="F67" s="1053" t="s">
        <v>72</v>
      </c>
      <c r="G67" s="1053">
        <f>ROUND((C67*E67),2)</f>
        <v>0.17</v>
      </c>
      <c r="H67" s="1030"/>
      <c r="I67" s="1030"/>
      <c r="J67" s="1030"/>
      <c r="K67" s="996"/>
      <c r="L67" s="996"/>
      <c r="M67" s="991"/>
      <c r="N67" s="991"/>
      <c r="O67" s="991"/>
    </row>
    <row r="68" spans="1:15" s="992" customFormat="1" ht="14.25" x14ac:dyDescent="0.2">
      <c r="A68" s="1001"/>
      <c r="B68" s="1034"/>
      <c r="C68" s="1034"/>
      <c r="D68" s="1034"/>
      <c r="E68" s="1030"/>
      <c r="F68" s="1030"/>
      <c r="G68" s="1030"/>
      <c r="H68" s="1030"/>
      <c r="I68" s="1054"/>
      <c r="J68" s="1030"/>
      <c r="K68" s="996"/>
      <c r="L68" s="996"/>
      <c r="M68" s="991"/>
      <c r="N68" s="991"/>
      <c r="O68" s="991"/>
    </row>
    <row r="69" spans="1:15" s="992" customFormat="1" ht="14.25" x14ac:dyDescent="0.2">
      <c r="A69" s="993"/>
      <c r="B69" s="1026" t="s">
        <v>1044</v>
      </c>
      <c r="C69" s="1027">
        <f>SUM(I58:I61)+SUM(G64:G67)</f>
        <v>7.18</v>
      </c>
      <c r="D69" s="1028" t="s">
        <v>2</v>
      </c>
      <c r="E69" s="1030"/>
      <c r="F69" s="1030"/>
      <c r="G69" s="1030"/>
      <c r="H69" s="1030"/>
      <c r="I69" s="1030"/>
      <c r="J69" s="1030"/>
      <c r="K69" s="996"/>
      <c r="L69" s="996"/>
      <c r="M69" s="991"/>
      <c r="N69" s="991"/>
      <c r="O69" s="991"/>
    </row>
    <row r="70" spans="1:15" s="992" customFormat="1" ht="14.25" x14ac:dyDescent="0.2">
      <c r="A70" s="993"/>
      <c r="B70" s="996"/>
      <c r="C70" s="996"/>
      <c r="D70" s="996"/>
      <c r="E70" s="996"/>
      <c r="F70" s="996"/>
      <c r="G70" s="996"/>
      <c r="H70" s="996"/>
      <c r="I70" s="996"/>
      <c r="J70" s="996"/>
      <c r="K70" s="996"/>
      <c r="L70" s="996"/>
      <c r="M70" s="991"/>
      <c r="N70" s="991"/>
      <c r="O70" s="991"/>
    </row>
    <row r="71" spans="1:15" s="992" customFormat="1" ht="32.25" customHeight="1" x14ac:dyDescent="0.2">
      <c r="A71" s="990" t="str">
        <f>ORÇ!A459</f>
        <v>19.1.5</v>
      </c>
      <c r="B71" s="2038" t="str">
        <f>ORÇ!D459</f>
        <v xml:space="preserve">ARMAÇÃO DE PILAR OU VIGA DE UMA ESTRUTURA CONVENCIONAL DE CONCRETO ARMADO EM UMA EDIFICAÇÃO TÉRREA OU SOBRADO UTILIZANDO AÇO CA-50 DE 8,0 MM - MONTAGEM. AF_12/2015 </v>
      </c>
      <c r="C71" s="2037"/>
      <c r="D71" s="2037"/>
      <c r="E71" s="2037"/>
      <c r="F71" s="2037"/>
      <c r="G71" s="2037"/>
      <c r="H71" s="2037"/>
      <c r="I71" s="2037"/>
      <c r="J71" s="2037"/>
      <c r="K71" s="2037"/>
      <c r="L71" s="2037"/>
      <c r="M71" s="991"/>
      <c r="N71" s="991"/>
      <c r="O71" s="991"/>
    </row>
    <row r="72" spans="1:15" s="992" customFormat="1" ht="14.25" x14ac:dyDescent="0.2">
      <c r="A72" s="993"/>
      <c r="B72" s="996"/>
      <c r="C72" s="996"/>
      <c r="D72" s="996"/>
      <c r="E72" s="996"/>
      <c r="F72" s="996"/>
      <c r="G72" s="996"/>
      <c r="H72" s="996"/>
      <c r="I72" s="996"/>
      <c r="J72" s="996"/>
      <c r="K72" s="996"/>
      <c r="L72" s="996"/>
      <c r="M72" s="991"/>
      <c r="N72" s="991"/>
      <c r="O72" s="991"/>
    </row>
    <row r="73" spans="1:15" s="992" customFormat="1" ht="14.25" x14ac:dyDescent="0.2">
      <c r="A73" s="993"/>
      <c r="B73" s="1035"/>
      <c r="C73" s="1035"/>
      <c r="D73" s="1036" t="s">
        <v>1052</v>
      </c>
      <c r="E73" s="1037" t="s">
        <v>1053</v>
      </c>
      <c r="F73" s="1036" t="s">
        <v>216</v>
      </c>
      <c r="G73" s="1003"/>
      <c r="H73" s="1004"/>
      <c r="I73" s="1005"/>
      <c r="J73" s="1005"/>
      <c r="K73" s="1005"/>
      <c r="L73" s="991"/>
      <c r="M73" s="991"/>
      <c r="N73" s="991"/>
      <c r="O73" s="991"/>
    </row>
    <row r="74" spans="1:15" s="992" customFormat="1" ht="14.25" customHeight="1" x14ac:dyDescent="0.2">
      <c r="A74" s="993"/>
      <c r="B74" s="1038" t="s">
        <v>1032</v>
      </c>
      <c r="C74" s="2043" t="s">
        <v>1054</v>
      </c>
      <c r="D74" s="1039" t="s">
        <v>1055</v>
      </c>
      <c r="E74" s="1040" t="s">
        <v>1056</v>
      </c>
      <c r="F74" s="1040">
        <f>10.82+12.39</f>
        <v>23.21</v>
      </c>
      <c r="G74" s="1006"/>
      <c r="H74" s="1001"/>
      <c r="I74" s="1005"/>
      <c r="J74" s="997"/>
      <c r="K74" s="1005"/>
      <c r="L74" s="991"/>
      <c r="M74" s="991"/>
      <c r="N74" s="991"/>
      <c r="O74" s="991"/>
    </row>
    <row r="75" spans="1:15" s="992" customFormat="1" ht="14.25" x14ac:dyDescent="0.2">
      <c r="A75" s="993"/>
      <c r="B75" s="1038" t="s">
        <v>1033</v>
      </c>
      <c r="C75" s="2044"/>
      <c r="D75" s="1039" t="s">
        <v>1055</v>
      </c>
      <c r="E75" s="1040" t="s">
        <v>1056</v>
      </c>
      <c r="F75" s="1040">
        <f>10.82+12.39</f>
        <v>23.21</v>
      </c>
      <c r="G75" s="1006"/>
      <c r="H75" s="1001"/>
      <c r="I75" s="1005"/>
      <c r="J75" s="997"/>
      <c r="K75" s="1005"/>
      <c r="L75" s="991"/>
      <c r="M75" s="991"/>
      <c r="N75" s="991"/>
      <c r="O75" s="991"/>
    </row>
    <row r="76" spans="1:15" s="992" customFormat="1" ht="14.25" x14ac:dyDescent="0.2">
      <c r="A76" s="993"/>
      <c r="B76" s="1038" t="s">
        <v>1494</v>
      </c>
      <c r="C76" s="2044"/>
      <c r="D76" s="1039" t="s">
        <v>1055</v>
      </c>
      <c r="E76" s="1040" t="s">
        <v>1056</v>
      </c>
      <c r="F76" s="1045">
        <v>12</v>
      </c>
      <c r="G76" s="1006"/>
      <c r="H76" s="1001"/>
      <c r="I76" s="1005"/>
      <c r="J76" s="1007"/>
      <c r="K76" s="1005"/>
      <c r="L76" s="991"/>
      <c r="M76" s="991"/>
      <c r="N76" s="991"/>
      <c r="O76" s="991"/>
    </row>
    <row r="77" spans="1:15" s="992" customFormat="1" ht="14.25" x14ac:dyDescent="0.2">
      <c r="A77" s="993"/>
      <c r="B77" s="1038" t="s">
        <v>1495</v>
      </c>
      <c r="C77" s="2045"/>
      <c r="D77" s="1388" t="s">
        <v>1498</v>
      </c>
      <c r="E77" s="1040" t="str">
        <f>E76</f>
        <v>ø 8,0</v>
      </c>
      <c r="F77" s="1045">
        <f>F76</f>
        <v>12</v>
      </c>
      <c r="G77" s="1006"/>
      <c r="H77" s="1001"/>
      <c r="I77" s="1005"/>
      <c r="J77" s="1007"/>
      <c r="K77" s="1005"/>
      <c r="L77" s="991"/>
      <c r="M77" s="991"/>
      <c r="N77" s="991"/>
      <c r="O77" s="991"/>
    </row>
    <row r="78" spans="1:15" s="992" customFormat="1" ht="14.25" x14ac:dyDescent="0.2">
      <c r="A78" s="993"/>
      <c r="B78" s="1046"/>
      <c r="C78" s="1047" t="s">
        <v>60</v>
      </c>
      <c r="D78" s="1048"/>
      <c r="E78" s="1049"/>
      <c r="F78" s="1050">
        <f>SUM(F74:F77)</f>
        <v>70.42</v>
      </c>
      <c r="G78" s="1006"/>
      <c r="H78" s="1001"/>
      <c r="I78" s="1005"/>
      <c r="J78" s="1007"/>
      <c r="K78" s="1005"/>
      <c r="L78" s="991"/>
      <c r="M78" s="991"/>
      <c r="N78" s="991"/>
      <c r="O78" s="991"/>
    </row>
    <row r="79" spans="1:15" s="992" customFormat="1" ht="7.5" customHeight="1" x14ac:dyDescent="0.2">
      <c r="A79" s="1000"/>
      <c r="B79" s="1020"/>
      <c r="C79" s="1020"/>
      <c r="D79" s="1020"/>
      <c r="E79" s="1020"/>
      <c r="F79" s="1020"/>
      <c r="G79" s="1008"/>
      <c r="H79" s="1008"/>
      <c r="I79" s="1008"/>
      <c r="J79" s="1008"/>
      <c r="K79" s="1008"/>
      <c r="L79" s="996"/>
      <c r="M79" s="991"/>
      <c r="N79" s="991"/>
      <c r="O79" s="991"/>
    </row>
    <row r="80" spans="1:15" s="992" customFormat="1" ht="14.25" x14ac:dyDescent="0.2">
      <c r="A80" s="993"/>
      <c r="B80" s="1026" t="s">
        <v>1044</v>
      </c>
      <c r="C80" s="1027">
        <f>F78</f>
        <v>70.42</v>
      </c>
      <c r="D80" s="1028" t="s">
        <v>1057</v>
      </c>
      <c r="E80" s="1051"/>
      <c r="F80" s="1051"/>
      <c r="G80" s="1009"/>
      <c r="H80" s="1009"/>
      <c r="I80" s="1009"/>
      <c r="J80" s="1009"/>
      <c r="K80" s="1009"/>
      <c r="L80" s="996"/>
      <c r="M80" s="991"/>
      <c r="N80" s="991"/>
      <c r="O80" s="991"/>
    </row>
    <row r="81" spans="1:15" s="992" customFormat="1" ht="14.25" x14ac:dyDescent="0.2">
      <c r="A81" s="993"/>
      <c r="B81" s="996"/>
      <c r="C81" s="996"/>
      <c r="D81" s="996"/>
      <c r="E81" s="996"/>
      <c r="F81" s="996"/>
      <c r="G81" s="996"/>
      <c r="H81" s="996"/>
      <c r="I81" s="996"/>
      <c r="J81" s="996"/>
      <c r="K81" s="996"/>
      <c r="L81" s="996"/>
      <c r="M81" s="991"/>
      <c r="N81" s="991"/>
      <c r="O81" s="991"/>
    </row>
    <row r="82" spans="1:15" s="992" customFormat="1" ht="32.25" customHeight="1" x14ac:dyDescent="0.2">
      <c r="A82" s="990" t="str">
        <f>ORÇ!A460</f>
        <v>19.1.6</v>
      </c>
      <c r="B82" s="2038" t="str">
        <f>ORÇ!D460</f>
        <v xml:space="preserve">ARMAÇÃO DE PILAR OU VIGA DE UMA ESTRUTURA CONVENCIONAL DE CONCRETO ARMADO EM UMA EDIFICAÇÃO TÉRREA OU SOBRADO UTILIZANDO AÇO CA-50 DE 6,3 MM - MONTAGEM. AF_12/2015 </v>
      </c>
      <c r="C82" s="2037"/>
      <c r="D82" s="2037"/>
      <c r="E82" s="2037"/>
      <c r="F82" s="2037"/>
      <c r="G82" s="2037"/>
      <c r="H82" s="2037"/>
      <c r="I82" s="2037"/>
      <c r="J82" s="2037"/>
      <c r="K82" s="2037"/>
      <c r="L82" s="2037"/>
      <c r="M82" s="991"/>
      <c r="N82" s="991"/>
      <c r="O82" s="991"/>
    </row>
    <row r="83" spans="1:15" s="992" customFormat="1" ht="14.25" x14ac:dyDescent="0.2">
      <c r="A83" s="993"/>
      <c r="B83" s="996"/>
      <c r="C83" s="996"/>
      <c r="D83" s="996"/>
      <c r="E83" s="996"/>
      <c r="F83" s="996"/>
      <c r="G83" s="996"/>
      <c r="H83" s="996"/>
      <c r="I83" s="996"/>
      <c r="J83" s="996"/>
      <c r="K83" s="996"/>
      <c r="L83" s="996"/>
      <c r="M83" s="991"/>
      <c r="N83" s="991"/>
      <c r="O83" s="991"/>
    </row>
    <row r="84" spans="1:15" s="992" customFormat="1" ht="14.25" x14ac:dyDescent="0.2">
      <c r="A84" s="993"/>
      <c r="B84" s="1035"/>
      <c r="C84" s="1035"/>
      <c r="D84" s="1036" t="s">
        <v>1052</v>
      </c>
      <c r="E84" s="1037" t="s">
        <v>1053</v>
      </c>
      <c r="F84" s="1023" t="s">
        <v>216</v>
      </c>
      <c r="G84" s="989"/>
      <c r="H84" s="1004"/>
      <c r="I84" s="1005"/>
      <c r="J84" s="1005"/>
      <c r="K84" s="1005"/>
      <c r="L84" s="991"/>
      <c r="M84" s="991"/>
      <c r="N84" s="991"/>
      <c r="O84" s="991"/>
    </row>
    <row r="85" spans="1:15" s="992" customFormat="1" ht="14.25" x14ac:dyDescent="0.2">
      <c r="A85" s="993"/>
      <c r="B85" s="1046" t="s">
        <v>1032</v>
      </c>
      <c r="C85" s="2046" t="s">
        <v>40</v>
      </c>
      <c r="D85" s="1073" t="s">
        <v>1055</v>
      </c>
      <c r="E85" s="1040" t="s">
        <v>1058</v>
      </c>
      <c r="F85" s="1029">
        <f>39.16+48.94+18.23+24+30</f>
        <v>160.32999999999998</v>
      </c>
      <c r="G85" s="989"/>
      <c r="H85" s="1001"/>
      <c r="I85" s="1005"/>
      <c r="J85" s="997"/>
      <c r="K85" s="1005"/>
      <c r="L85" s="991"/>
      <c r="M85" s="991"/>
      <c r="N85" s="991"/>
      <c r="O85" s="991"/>
    </row>
    <row r="86" spans="1:15" s="992" customFormat="1" ht="14.25" x14ac:dyDescent="0.2">
      <c r="A86" s="993"/>
      <c r="B86" s="1046" t="s">
        <v>1033</v>
      </c>
      <c r="C86" s="2046"/>
      <c r="D86" s="1073" t="s">
        <v>1055</v>
      </c>
      <c r="E86" s="1040" t="s">
        <v>1058</v>
      </c>
      <c r="F86" s="1029">
        <f>39.16+48.94+18.23+24+30</f>
        <v>160.32999999999998</v>
      </c>
      <c r="G86" s="989"/>
      <c r="H86" s="1001"/>
      <c r="I86" s="1005"/>
      <c r="J86" s="997"/>
      <c r="K86" s="1005"/>
      <c r="L86" s="991"/>
      <c r="M86" s="991"/>
      <c r="N86" s="991"/>
      <c r="O86" s="991"/>
    </row>
    <row r="87" spans="1:15" s="992" customFormat="1" ht="14.25" x14ac:dyDescent="0.2">
      <c r="A87" s="993"/>
      <c r="B87" s="1046" t="s">
        <v>1494</v>
      </c>
      <c r="C87" s="2046"/>
      <c r="D87" s="1073" t="s">
        <v>1055</v>
      </c>
      <c r="E87" s="1040" t="s">
        <v>1058</v>
      </c>
      <c r="F87" s="1025">
        <v>41.2</v>
      </c>
      <c r="G87" s="989"/>
      <c r="H87" s="1001"/>
      <c r="I87" s="1005"/>
      <c r="J87" s="997"/>
      <c r="K87" s="1005"/>
      <c r="L87" s="991"/>
      <c r="M87" s="991"/>
      <c r="N87" s="991"/>
      <c r="O87" s="991"/>
    </row>
    <row r="88" spans="1:15" s="992" customFormat="1" ht="14.25" x14ac:dyDescent="0.2">
      <c r="A88" s="993"/>
      <c r="B88" s="1046" t="s">
        <v>1495</v>
      </c>
      <c r="C88" s="2046"/>
      <c r="D88" s="1073" t="s">
        <v>1498</v>
      </c>
      <c r="E88" s="1040" t="str">
        <f>E87</f>
        <v>ø 6,3</v>
      </c>
      <c r="F88" s="1025">
        <f>F87</f>
        <v>41.2</v>
      </c>
      <c r="G88" s="989"/>
      <c r="H88" s="1001"/>
      <c r="I88" s="1005"/>
      <c r="J88" s="997"/>
      <c r="K88" s="1005"/>
      <c r="L88" s="991"/>
      <c r="M88" s="991"/>
      <c r="N88" s="991"/>
      <c r="O88" s="991"/>
    </row>
    <row r="89" spans="1:15" s="992" customFormat="1" ht="14.25" x14ac:dyDescent="0.2">
      <c r="A89" s="993"/>
      <c r="B89" s="1041"/>
      <c r="C89" s="1042" t="s">
        <v>60</v>
      </c>
      <c r="D89" s="1043"/>
      <c r="E89" s="1044"/>
      <c r="F89" s="1029">
        <f>SUM(F85:F88)</f>
        <v>403.05999999999995</v>
      </c>
      <c r="G89" s="989"/>
      <c r="H89" s="1001"/>
      <c r="I89" s="1005"/>
      <c r="J89" s="1007"/>
      <c r="K89" s="1005"/>
      <c r="L89" s="991"/>
      <c r="M89" s="991"/>
      <c r="N89" s="991"/>
      <c r="O89" s="991"/>
    </row>
    <row r="90" spans="1:15" s="992" customFormat="1" ht="14.25" x14ac:dyDescent="0.2">
      <c r="A90" s="993"/>
      <c r="B90" s="1030"/>
      <c r="C90" s="1030"/>
      <c r="D90" s="1030"/>
      <c r="E90" s="1030"/>
      <c r="F90" s="1030"/>
      <c r="G90" s="996"/>
      <c r="H90" s="996"/>
      <c r="I90" s="996"/>
      <c r="J90" s="996"/>
      <c r="K90" s="996"/>
      <c r="L90" s="996"/>
      <c r="M90" s="991"/>
      <c r="N90" s="991"/>
      <c r="O90" s="991"/>
    </row>
    <row r="91" spans="1:15" s="992" customFormat="1" ht="14.25" x14ac:dyDescent="0.2">
      <c r="A91" s="993"/>
      <c r="B91" s="1026" t="s">
        <v>1044</v>
      </c>
      <c r="C91" s="1027">
        <f>F89</f>
        <v>403.05999999999995</v>
      </c>
      <c r="D91" s="1028" t="s">
        <v>1057</v>
      </c>
      <c r="E91" s="1030"/>
      <c r="F91" s="1030"/>
      <c r="G91" s="996"/>
      <c r="H91" s="996"/>
      <c r="I91" s="996"/>
      <c r="J91" s="996"/>
      <c r="K91" s="1010"/>
      <c r="L91" s="996"/>
      <c r="M91" s="991"/>
      <c r="N91" s="991"/>
      <c r="O91" s="991"/>
    </row>
    <row r="92" spans="1:15" s="992" customFormat="1" ht="14.25" x14ac:dyDescent="0.2">
      <c r="A92" s="993"/>
      <c r="B92" s="996"/>
      <c r="C92" s="996"/>
      <c r="D92" s="996"/>
      <c r="E92" s="996"/>
      <c r="F92" s="996"/>
      <c r="G92" s="996"/>
      <c r="H92" s="996"/>
      <c r="I92" s="996"/>
      <c r="J92" s="996"/>
      <c r="K92" s="996"/>
      <c r="L92" s="996"/>
      <c r="M92" s="991"/>
      <c r="N92" s="991"/>
      <c r="O92" s="991"/>
    </row>
    <row r="93" spans="1:15" s="992" customFormat="1" ht="15" x14ac:dyDescent="0.25">
      <c r="A93" s="1011" t="str">
        <f>ORÇ!A461</f>
        <v>19.1.7</v>
      </c>
      <c r="B93" s="1032" t="str">
        <f>ORÇ!D461</f>
        <v>LANÇAMENTO COM USO DE BALDES, ADENSAMENTO E ACABAMENTO DE CONCRETO EM ESTRUTURAS. AF_02/2022</v>
      </c>
      <c r="C93" s="996"/>
      <c r="D93" s="996"/>
      <c r="E93" s="996"/>
      <c r="F93" s="996"/>
      <c r="G93" s="996"/>
      <c r="H93" s="996"/>
      <c r="I93" s="996"/>
      <c r="J93" s="996"/>
      <c r="K93" s="996"/>
      <c r="L93" s="996"/>
      <c r="M93" s="991"/>
      <c r="N93" s="991"/>
      <c r="O93" s="991"/>
    </row>
    <row r="94" spans="1:15" s="992" customFormat="1" ht="14.25" x14ac:dyDescent="0.2">
      <c r="A94" s="993"/>
      <c r="B94" s="996"/>
      <c r="C94" s="996"/>
      <c r="D94" s="996"/>
      <c r="E94" s="996"/>
      <c r="F94" s="996"/>
      <c r="G94" s="996"/>
      <c r="H94" s="996"/>
      <c r="I94" s="996"/>
      <c r="J94" s="996"/>
      <c r="K94" s="996"/>
      <c r="L94" s="996"/>
      <c r="M94" s="991"/>
      <c r="N94" s="991"/>
      <c r="O94" s="991"/>
    </row>
    <row r="95" spans="1:15" s="992" customFormat="1" ht="14.25" x14ac:dyDescent="0.2">
      <c r="A95" s="993"/>
      <c r="B95" s="1030" t="s">
        <v>1059</v>
      </c>
      <c r="C95" s="1030"/>
      <c r="D95" s="1033" t="str">
        <f>A55</f>
        <v>19.1.4</v>
      </c>
      <c r="E95" s="996"/>
      <c r="F95" s="996"/>
      <c r="G95" s="996"/>
      <c r="H95" s="996"/>
      <c r="I95" s="996"/>
      <c r="J95" s="996"/>
      <c r="K95" s="996"/>
      <c r="L95" s="996"/>
      <c r="M95" s="991"/>
      <c r="N95" s="991"/>
      <c r="O95" s="991"/>
    </row>
    <row r="96" spans="1:15" s="992" customFormat="1" ht="14.25" x14ac:dyDescent="0.2">
      <c r="A96" s="1001"/>
      <c r="B96" s="1034"/>
      <c r="C96" s="1034"/>
      <c r="D96" s="1034"/>
      <c r="E96" s="996"/>
      <c r="F96" s="996"/>
      <c r="G96" s="996"/>
      <c r="H96" s="996"/>
      <c r="I96" s="998"/>
      <c r="J96" s="996"/>
      <c r="K96" s="996"/>
      <c r="L96" s="996"/>
      <c r="M96" s="991"/>
      <c r="N96" s="991"/>
      <c r="O96" s="991"/>
    </row>
    <row r="97" spans="1:15" s="992" customFormat="1" ht="14.25" x14ac:dyDescent="0.2">
      <c r="A97" s="993"/>
      <c r="B97" s="1026" t="s">
        <v>1044</v>
      </c>
      <c r="C97" s="1027">
        <f>C69</f>
        <v>7.18</v>
      </c>
      <c r="D97" s="1028" t="s">
        <v>2</v>
      </c>
      <c r="E97" s="996"/>
      <c r="F97" s="996"/>
      <c r="G97" s="996"/>
      <c r="H97" s="996"/>
      <c r="I97" s="996"/>
      <c r="J97" s="996"/>
      <c r="K97" s="996"/>
      <c r="L97" s="996"/>
      <c r="M97" s="991"/>
      <c r="N97" s="991"/>
      <c r="O97" s="991"/>
    </row>
    <row r="98" spans="1:15" s="992" customFormat="1" ht="14.25" x14ac:dyDescent="0.2">
      <c r="A98" s="993"/>
      <c r="B98" s="996"/>
      <c r="C98" s="996"/>
      <c r="D98" s="996"/>
      <c r="E98" s="996"/>
      <c r="F98" s="996"/>
      <c r="G98" s="996"/>
      <c r="H98" s="996"/>
      <c r="I98" s="996"/>
      <c r="J98" s="996"/>
      <c r="K98" s="996"/>
      <c r="L98" s="996"/>
      <c r="M98" s="991"/>
      <c r="N98" s="991"/>
      <c r="O98" s="991"/>
    </row>
    <row r="99" spans="1:15" s="992" customFormat="1" ht="15.75" customHeight="1" x14ac:dyDescent="0.2">
      <c r="A99" s="990" t="str">
        <f>ORÇ!A462</f>
        <v>19.2</v>
      </c>
      <c r="B99" s="2037" t="str">
        <f>ORÇ!D462</f>
        <v>Laje da Tampa</v>
      </c>
      <c r="C99" s="2037"/>
      <c r="D99" s="2037"/>
      <c r="E99" s="2037"/>
      <c r="F99" s="2037"/>
      <c r="G99" s="2037"/>
      <c r="H99" s="2037"/>
      <c r="I99" s="2037"/>
      <c r="J99" s="2037"/>
      <c r="K99" s="2037"/>
      <c r="L99" s="2037"/>
      <c r="M99" s="991"/>
      <c r="N99" s="991"/>
      <c r="O99" s="991"/>
    </row>
    <row r="100" spans="1:15" s="992" customFormat="1" ht="31.5" customHeight="1" x14ac:dyDescent="0.2">
      <c r="A100" s="990" t="str">
        <f>ORÇ!A463</f>
        <v>19.2.1</v>
      </c>
      <c r="B100" s="2038" t="str">
        <f>ORÇ!D463</f>
        <v xml:space="preserve">MONTAGEM E DESMONTAGEM DE FÔRMA DE LAJE MACIÇA, PÉ-DIREITO SIMPLES, EM CHAPA DE MADEIRA COMPENSADA RESINADA, 4 UTILIZAÇÕES. AF_09/2020 </v>
      </c>
      <c r="C100" s="2037"/>
      <c r="D100" s="2037"/>
      <c r="E100" s="2037"/>
      <c r="F100" s="2037"/>
      <c r="G100" s="2037"/>
      <c r="H100" s="2037"/>
      <c r="I100" s="2037"/>
      <c r="J100" s="2037"/>
      <c r="K100" s="2037"/>
      <c r="L100" s="2037"/>
      <c r="M100" s="991"/>
      <c r="N100" s="991"/>
      <c r="O100" s="991"/>
    </row>
    <row r="101" spans="1:15" s="992" customFormat="1" ht="14.25" x14ac:dyDescent="0.2">
      <c r="A101" s="993"/>
      <c r="B101" s="996"/>
      <c r="C101" s="996"/>
      <c r="D101" s="996"/>
      <c r="E101" s="996"/>
      <c r="F101" s="996"/>
      <c r="G101" s="996"/>
      <c r="H101" s="996"/>
      <c r="I101" s="996"/>
      <c r="J101" s="996"/>
      <c r="K101" s="996"/>
      <c r="L101" s="996"/>
      <c r="M101" s="991"/>
      <c r="N101" s="991"/>
      <c r="O101" s="991"/>
    </row>
    <row r="102" spans="1:15" s="992" customFormat="1" x14ac:dyDescent="0.2">
      <c r="A102" s="1035"/>
      <c r="B102" s="1020"/>
      <c r="C102" s="1036" t="s">
        <v>1060</v>
      </c>
      <c r="D102" s="1036"/>
      <c r="E102" s="1036" t="s">
        <v>81</v>
      </c>
      <c r="F102" s="1036"/>
      <c r="G102" s="1036" t="s">
        <v>86</v>
      </c>
      <c r="H102" s="1056"/>
      <c r="I102" s="2047" t="s">
        <v>1061</v>
      </c>
      <c r="J102" s="2047"/>
      <c r="K102" s="1057"/>
      <c r="L102" s="1057" t="s">
        <v>86</v>
      </c>
      <c r="M102" s="1020"/>
      <c r="N102" s="991"/>
      <c r="O102" s="991"/>
    </row>
    <row r="103" spans="1:15" s="992" customFormat="1" ht="38.25" x14ac:dyDescent="0.2">
      <c r="A103" s="1035"/>
      <c r="B103" s="1052" t="s">
        <v>1062</v>
      </c>
      <c r="C103" s="1053">
        <v>2.2000000000000002</v>
      </c>
      <c r="D103" s="1053" t="s">
        <v>71</v>
      </c>
      <c r="E103" s="1053">
        <v>1.7</v>
      </c>
      <c r="F103" s="1053" t="s">
        <v>72</v>
      </c>
      <c r="G103" s="1053">
        <f>ROUND((C103*E103),2)</f>
        <v>3.74</v>
      </c>
      <c r="H103" s="1039" t="s">
        <v>79</v>
      </c>
      <c r="I103" s="2047">
        <f>ROUND((0.9*0.9),2)</f>
        <v>0.81</v>
      </c>
      <c r="J103" s="2047"/>
      <c r="K103" s="1039" t="s">
        <v>72</v>
      </c>
      <c r="L103" s="1053">
        <f>G103-I103</f>
        <v>2.93</v>
      </c>
      <c r="M103" s="1020"/>
      <c r="N103" s="991"/>
      <c r="O103" s="991"/>
    </row>
    <row r="104" spans="1:15" s="992" customFormat="1" ht="38.25" x14ac:dyDescent="0.2">
      <c r="A104" s="1035"/>
      <c r="B104" s="1052" t="s">
        <v>1063</v>
      </c>
      <c r="C104" s="1053">
        <v>2.2000000000000002</v>
      </c>
      <c r="D104" s="1053" t="s">
        <v>71</v>
      </c>
      <c r="E104" s="1053">
        <v>1.7</v>
      </c>
      <c r="F104" s="1053" t="s">
        <v>72</v>
      </c>
      <c r="G104" s="1053">
        <f>ROUND((C104*E104),2)</f>
        <v>3.74</v>
      </c>
      <c r="H104" s="1039" t="s">
        <v>79</v>
      </c>
      <c r="I104" s="2047">
        <f>ROUND((0.9*0.9),2)</f>
        <v>0.81</v>
      </c>
      <c r="J104" s="2047"/>
      <c r="K104" s="1039" t="s">
        <v>72</v>
      </c>
      <c r="L104" s="1053">
        <f>G104-I104</f>
        <v>2.93</v>
      </c>
      <c r="M104" s="1020"/>
      <c r="N104" s="991"/>
      <c r="O104" s="991"/>
    </row>
    <row r="105" spans="1:15" s="992" customFormat="1" x14ac:dyDescent="0.2">
      <c r="A105" s="1035"/>
      <c r="B105" s="1020"/>
      <c r="C105" s="1036" t="s">
        <v>1064</v>
      </c>
      <c r="D105" s="1036"/>
      <c r="E105" s="1036" t="s">
        <v>81</v>
      </c>
      <c r="F105" s="1036"/>
      <c r="G105" s="1036" t="s">
        <v>86</v>
      </c>
      <c r="H105" s="1058"/>
      <c r="I105" s="2048"/>
      <c r="J105" s="2048"/>
      <c r="K105" s="1059"/>
      <c r="L105" s="1059"/>
      <c r="M105" s="1020"/>
      <c r="N105" s="991"/>
      <c r="O105" s="991"/>
    </row>
    <row r="106" spans="1:15" s="992" customFormat="1" ht="25.5" x14ac:dyDescent="0.2">
      <c r="A106" s="1035"/>
      <c r="B106" s="1052" t="s">
        <v>1065</v>
      </c>
      <c r="C106" s="1053">
        <f>(C103+E103)*2</f>
        <v>7.8000000000000007</v>
      </c>
      <c r="D106" s="1053" t="s">
        <v>71</v>
      </c>
      <c r="E106" s="1053">
        <v>0.1</v>
      </c>
      <c r="F106" s="1053" t="s">
        <v>72</v>
      </c>
      <c r="G106" s="1053">
        <f>ROUND((C106*E106),2)</f>
        <v>0.78</v>
      </c>
      <c r="H106" s="1060"/>
      <c r="I106" s="2049"/>
      <c r="J106" s="2049"/>
      <c r="K106" s="1031"/>
      <c r="L106" s="1061"/>
      <c r="M106" s="1020"/>
      <c r="N106" s="991"/>
      <c r="O106" s="991"/>
    </row>
    <row r="107" spans="1:15" s="992" customFormat="1" ht="25.5" x14ac:dyDescent="0.2">
      <c r="A107" s="1035"/>
      <c r="B107" s="1052" t="s">
        <v>1066</v>
      </c>
      <c r="C107" s="1053">
        <f>(C104+E104)*2</f>
        <v>7.8000000000000007</v>
      </c>
      <c r="D107" s="1053" t="s">
        <v>71</v>
      </c>
      <c r="E107" s="1053">
        <v>0.1</v>
      </c>
      <c r="F107" s="1053" t="s">
        <v>72</v>
      </c>
      <c r="G107" s="1053">
        <f>ROUND((C107*E107),2)</f>
        <v>0.78</v>
      </c>
      <c r="H107" s="1031"/>
      <c r="I107" s="1031"/>
      <c r="J107" s="1031"/>
      <c r="K107" s="1061"/>
      <c r="L107" s="1030"/>
      <c r="M107" s="1020"/>
      <c r="N107" s="991"/>
      <c r="O107" s="991"/>
    </row>
    <row r="108" spans="1:15" s="992" customFormat="1" x14ac:dyDescent="0.2">
      <c r="A108" s="1035"/>
      <c r="B108" s="1062"/>
      <c r="C108" s="1063"/>
      <c r="D108" s="1064"/>
      <c r="E108" s="1061"/>
      <c r="F108" s="1061"/>
      <c r="G108" s="1061"/>
      <c r="H108" s="1031"/>
      <c r="I108" s="1031"/>
      <c r="J108" s="1031"/>
      <c r="K108" s="1061"/>
      <c r="L108" s="1030"/>
      <c r="M108" s="1020"/>
      <c r="N108" s="991"/>
      <c r="O108" s="991"/>
    </row>
    <row r="109" spans="1:15" s="992" customFormat="1" x14ac:dyDescent="0.2">
      <c r="A109" s="1035"/>
      <c r="B109" s="1026" t="s">
        <v>1044</v>
      </c>
      <c r="C109" s="1027">
        <f>SUM(L103:L104)+SUM(G106:G107)</f>
        <v>7.42</v>
      </c>
      <c r="D109" s="1028" t="s">
        <v>6</v>
      </c>
      <c r="E109" s="1030"/>
      <c r="F109" s="1030"/>
      <c r="G109" s="1030"/>
      <c r="H109" s="1030"/>
      <c r="I109" s="1030"/>
      <c r="J109" s="1030"/>
      <c r="K109" s="1030"/>
      <c r="L109" s="1030"/>
      <c r="M109" s="1020"/>
      <c r="N109" s="991"/>
      <c r="O109" s="991"/>
    </row>
    <row r="110" spans="1:15" s="992" customFormat="1" ht="14.25" x14ac:dyDescent="0.2">
      <c r="A110" s="993"/>
      <c r="B110" s="996"/>
      <c r="C110" s="996"/>
      <c r="D110" s="996"/>
      <c r="E110" s="996"/>
      <c r="F110" s="996"/>
      <c r="G110" s="996"/>
      <c r="H110" s="996"/>
      <c r="I110" s="996"/>
      <c r="J110" s="996"/>
      <c r="K110" s="996"/>
      <c r="L110" s="996"/>
      <c r="M110" s="991"/>
      <c r="N110" s="991"/>
      <c r="O110" s="991"/>
    </row>
    <row r="111" spans="1:15" s="992" customFormat="1" ht="15" x14ac:dyDescent="0.2">
      <c r="A111" s="990" t="str">
        <f>ORÇ!A464</f>
        <v>19.2.2</v>
      </c>
      <c r="B111" s="2038" t="str">
        <f>ORÇ!D464</f>
        <v xml:space="preserve">CONCRETO FCK = 20MPA, TRAÇO 1:2,7:3 (EM MASSA SECA DE CIMENTO/ AREIA MÉDIA/ BRITA 1) - PREPARO MECÂNICO COM BETONEIRA 600 L. AF_05/2021 </v>
      </c>
      <c r="C111" s="2037"/>
      <c r="D111" s="2037"/>
      <c r="E111" s="2037"/>
      <c r="F111" s="2037"/>
      <c r="G111" s="2037"/>
      <c r="H111" s="2037"/>
      <c r="I111" s="2037"/>
      <c r="J111" s="2037"/>
      <c r="K111" s="2037"/>
      <c r="L111" s="2037"/>
      <c r="M111" s="991"/>
      <c r="N111" s="991"/>
      <c r="O111" s="991"/>
    </row>
    <row r="112" spans="1:15" s="992" customFormat="1" ht="14.25" x14ac:dyDescent="0.2">
      <c r="A112" s="993"/>
      <c r="B112" s="996"/>
      <c r="C112" s="996"/>
      <c r="D112" s="996"/>
      <c r="E112" s="996"/>
      <c r="F112" s="996"/>
      <c r="G112" s="996"/>
      <c r="H112" s="996"/>
      <c r="I112" s="996"/>
      <c r="J112" s="996"/>
      <c r="K112" s="996"/>
      <c r="L112" s="996"/>
      <c r="M112" s="991"/>
      <c r="N112" s="991"/>
      <c r="O112" s="991"/>
    </row>
    <row r="113" spans="1:15" s="992" customFormat="1" ht="14.25" x14ac:dyDescent="0.2">
      <c r="A113" s="1035"/>
      <c r="B113" s="2050" t="s">
        <v>1067</v>
      </c>
      <c r="C113" s="2051"/>
      <c r="D113" s="2051"/>
      <c r="E113" s="2051"/>
      <c r="F113" s="2051"/>
      <c r="G113" s="2051"/>
      <c r="H113" s="2052"/>
      <c r="I113" s="996"/>
      <c r="J113" s="996"/>
      <c r="K113" s="996"/>
      <c r="L113" s="996"/>
      <c r="M113" s="991"/>
      <c r="N113" s="991"/>
      <c r="O113" s="991"/>
    </row>
    <row r="114" spans="1:15" s="992" customFormat="1" ht="14.25" x14ac:dyDescent="0.2">
      <c r="A114" s="1035"/>
      <c r="B114" s="1036" t="s">
        <v>1060</v>
      </c>
      <c r="C114" s="1036"/>
      <c r="D114" s="1036" t="s">
        <v>81</v>
      </c>
      <c r="E114" s="1036"/>
      <c r="F114" s="1036" t="s">
        <v>1046</v>
      </c>
      <c r="G114" s="1036"/>
      <c r="H114" s="1036" t="s">
        <v>86</v>
      </c>
      <c r="I114" s="996"/>
      <c r="J114" s="996"/>
      <c r="K114" s="996"/>
      <c r="L114" s="996"/>
      <c r="M114" s="991"/>
      <c r="N114" s="991"/>
      <c r="O114" s="991"/>
    </row>
    <row r="115" spans="1:15" s="992" customFormat="1" ht="14.25" x14ac:dyDescent="0.2">
      <c r="A115" s="1035" t="s">
        <v>1068</v>
      </c>
      <c r="B115" s="1053">
        <f>C103</f>
        <v>2.2000000000000002</v>
      </c>
      <c r="C115" s="1039" t="s">
        <v>71</v>
      </c>
      <c r="D115" s="1053">
        <f>E103</f>
        <v>1.7</v>
      </c>
      <c r="E115" s="1039" t="s">
        <v>71</v>
      </c>
      <c r="F115" s="1053">
        <v>0.1</v>
      </c>
      <c r="G115" s="1039" t="s">
        <v>72</v>
      </c>
      <c r="H115" s="1053">
        <f>B115*D115*F115</f>
        <v>0.37400000000000005</v>
      </c>
      <c r="I115" s="996"/>
      <c r="J115" s="996"/>
      <c r="K115" s="996"/>
      <c r="L115" s="996"/>
      <c r="M115" s="991"/>
      <c r="N115" s="991"/>
      <c r="O115" s="991"/>
    </row>
    <row r="116" spans="1:15" s="992" customFormat="1" ht="14.25" x14ac:dyDescent="0.2">
      <c r="A116" s="1035" t="s">
        <v>1069</v>
      </c>
      <c r="B116" s="1053">
        <f>C104</f>
        <v>2.2000000000000002</v>
      </c>
      <c r="C116" s="1039" t="s">
        <v>71</v>
      </c>
      <c r="D116" s="1053">
        <f>E104</f>
        <v>1.7</v>
      </c>
      <c r="E116" s="1039" t="s">
        <v>71</v>
      </c>
      <c r="F116" s="1053">
        <v>0.1</v>
      </c>
      <c r="G116" s="1039" t="s">
        <v>72</v>
      </c>
      <c r="H116" s="1053">
        <f>B116*D116*F116</f>
        <v>0.37400000000000005</v>
      </c>
      <c r="I116" s="996"/>
      <c r="J116" s="996"/>
      <c r="K116" s="996"/>
      <c r="L116" s="996"/>
      <c r="M116" s="991"/>
      <c r="N116" s="991"/>
      <c r="O116" s="991"/>
    </row>
    <row r="117" spans="1:15" s="992" customFormat="1" ht="14.25" x14ac:dyDescent="0.2">
      <c r="A117" s="1035"/>
      <c r="B117" s="1030"/>
      <c r="C117" s="1030"/>
      <c r="D117" s="1030"/>
      <c r="E117" s="1030"/>
      <c r="F117" s="1030"/>
      <c r="G117" s="1030"/>
      <c r="H117" s="1030"/>
      <c r="I117" s="996"/>
      <c r="J117" s="996"/>
      <c r="K117" s="996"/>
      <c r="L117" s="996"/>
      <c r="M117" s="991"/>
      <c r="N117" s="991"/>
      <c r="O117" s="991"/>
    </row>
    <row r="118" spans="1:15" s="992" customFormat="1" ht="14.25" x14ac:dyDescent="0.2">
      <c r="A118" s="1035"/>
      <c r="B118" s="1026" t="s">
        <v>1044</v>
      </c>
      <c r="C118" s="1027">
        <f>SUM(H115:H116)</f>
        <v>0.74800000000000011</v>
      </c>
      <c r="D118" s="1028" t="s">
        <v>2</v>
      </c>
      <c r="E118" s="1030"/>
      <c r="F118" s="1030"/>
      <c r="G118" s="1030"/>
      <c r="H118" s="1030"/>
      <c r="I118" s="996"/>
      <c r="J118" s="996"/>
      <c r="K118" s="996"/>
      <c r="L118" s="996"/>
      <c r="M118" s="991"/>
      <c r="N118" s="991"/>
      <c r="O118" s="991"/>
    </row>
    <row r="119" spans="1:15" s="992" customFormat="1" ht="14.25" x14ac:dyDescent="0.2">
      <c r="A119" s="993"/>
      <c r="B119" s="996"/>
      <c r="C119" s="996"/>
      <c r="D119" s="996"/>
      <c r="E119" s="996"/>
      <c r="F119" s="996"/>
      <c r="G119" s="996"/>
      <c r="H119" s="996"/>
      <c r="I119" s="996"/>
      <c r="J119" s="996"/>
      <c r="K119" s="996"/>
      <c r="L119" s="996"/>
      <c r="M119" s="991"/>
      <c r="N119" s="991"/>
      <c r="O119" s="991"/>
    </row>
    <row r="120" spans="1:15" s="992" customFormat="1" ht="25.5" customHeight="1" x14ac:dyDescent="0.2">
      <c r="A120" s="990" t="str">
        <f>ORÇ!A465</f>
        <v>19.2.3</v>
      </c>
      <c r="B120" s="2038" t="str">
        <f>ORÇ!D465</f>
        <v xml:space="preserve">ARMAÇÃO DE PILAR OU VIGA DE UMA ESTRUTURA CONVENCIONAL DE CONCRETO ARMADO EM UMA EDIFICAÇÃO TÉRREA OU SOBRADO UTILIZANDO AÇO CA-50 DE 8,0 MM - MONTAGEM. AF_12/2015 </v>
      </c>
      <c r="C120" s="2037"/>
      <c r="D120" s="2037"/>
      <c r="E120" s="2037"/>
      <c r="F120" s="2037"/>
      <c r="G120" s="2037"/>
      <c r="H120" s="2037"/>
      <c r="I120" s="2037"/>
      <c r="J120" s="2037"/>
      <c r="K120" s="2037"/>
      <c r="L120" s="2037"/>
      <c r="M120" s="991"/>
      <c r="N120" s="991"/>
      <c r="O120" s="991"/>
    </row>
    <row r="121" spans="1:15" s="992" customFormat="1" ht="14.25" x14ac:dyDescent="0.2">
      <c r="A121" s="993"/>
      <c r="B121" s="996"/>
      <c r="C121" s="996"/>
      <c r="D121" s="996"/>
      <c r="E121" s="996"/>
      <c r="F121" s="996"/>
      <c r="G121" s="996"/>
      <c r="H121" s="996"/>
      <c r="I121" s="996"/>
      <c r="J121" s="996"/>
      <c r="K121" s="996"/>
      <c r="L121" s="996"/>
      <c r="M121" s="991"/>
      <c r="N121" s="991"/>
      <c r="O121" s="991"/>
    </row>
    <row r="122" spans="1:15" s="991" customFormat="1" ht="14.25" x14ac:dyDescent="0.2">
      <c r="A122" s="993"/>
      <c r="B122" s="1035"/>
      <c r="C122" s="1035"/>
      <c r="D122" s="1036" t="s">
        <v>1052</v>
      </c>
      <c r="E122" s="1037" t="s">
        <v>1053</v>
      </c>
      <c r="F122" s="1023" t="s">
        <v>73</v>
      </c>
      <c r="G122" s="1012"/>
      <c r="H122" s="1004"/>
      <c r="I122" s="1005"/>
      <c r="J122" s="1005"/>
      <c r="K122" s="1005"/>
      <c r="L122" s="996"/>
    </row>
    <row r="123" spans="1:15" s="991" customFormat="1" ht="25.5" x14ac:dyDescent="0.2">
      <c r="A123" s="993"/>
      <c r="B123" s="1056" t="s">
        <v>1032</v>
      </c>
      <c r="C123" s="1069" t="s">
        <v>1070</v>
      </c>
      <c r="D123" s="1039" t="s">
        <v>1055</v>
      </c>
      <c r="E123" s="1040" t="s">
        <v>1056</v>
      </c>
      <c r="F123" s="1029">
        <v>14.6</v>
      </c>
      <c r="G123" s="1012"/>
      <c r="H123" s="1001"/>
      <c r="I123" s="1005"/>
      <c r="J123" s="997"/>
      <c r="K123" s="1005"/>
      <c r="L123" s="996"/>
    </row>
    <row r="124" spans="1:15" s="991" customFormat="1" ht="25.5" x14ac:dyDescent="0.2">
      <c r="A124" s="993"/>
      <c r="B124" s="1056" t="s">
        <v>1033</v>
      </c>
      <c r="C124" s="1069" t="s">
        <v>1070</v>
      </c>
      <c r="D124" s="1070" t="s">
        <v>1055</v>
      </c>
      <c r="E124" s="1071" t="s">
        <v>1056</v>
      </c>
      <c r="F124" s="1029">
        <v>14.6</v>
      </c>
      <c r="G124" s="1012"/>
      <c r="H124" s="1001"/>
      <c r="I124" s="1005"/>
      <c r="J124" s="997"/>
      <c r="K124" s="1005"/>
      <c r="L124" s="996"/>
    </row>
    <row r="125" spans="1:15" s="991" customFormat="1" ht="14.25" x14ac:dyDescent="0.2">
      <c r="A125" s="993"/>
      <c r="B125" s="1072"/>
      <c r="C125" s="1047" t="s">
        <v>60</v>
      </c>
      <c r="D125" s="1034"/>
      <c r="E125" s="1073"/>
      <c r="F125" s="1040">
        <f>SUM(F123:F124)</f>
        <v>29.2</v>
      </c>
      <c r="G125" s="1006"/>
      <c r="H125" s="1001"/>
      <c r="I125" s="1005"/>
      <c r="J125" s="997"/>
      <c r="K125" s="1005"/>
      <c r="L125" s="996"/>
    </row>
    <row r="126" spans="1:15" s="992" customFormat="1" ht="14.25" x14ac:dyDescent="0.2">
      <c r="A126" s="993"/>
      <c r="B126" s="1051"/>
      <c r="C126" s="1051"/>
      <c r="D126" s="1051"/>
      <c r="E126" s="1051"/>
      <c r="F126" s="1051"/>
      <c r="G126" s="1009"/>
      <c r="H126" s="1009"/>
      <c r="I126" s="1009"/>
      <c r="J126" s="1009"/>
      <c r="K126" s="1009"/>
      <c r="L126" s="996"/>
      <c r="M126" s="991"/>
      <c r="N126" s="991"/>
      <c r="O126" s="991"/>
    </row>
    <row r="127" spans="1:15" s="992" customFormat="1" ht="14.25" x14ac:dyDescent="0.2">
      <c r="A127" s="993"/>
      <c r="B127" s="1026" t="s">
        <v>1044</v>
      </c>
      <c r="C127" s="1027">
        <f>F125</f>
        <v>29.2</v>
      </c>
      <c r="D127" s="1028" t="s">
        <v>1057</v>
      </c>
      <c r="E127" s="1051"/>
      <c r="F127" s="1051"/>
      <c r="G127" s="1009"/>
      <c r="H127" s="1009"/>
      <c r="I127" s="1009"/>
      <c r="J127" s="1009"/>
      <c r="K127" s="1009"/>
      <c r="L127" s="996"/>
      <c r="M127" s="991"/>
      <c r="N127" s="991"/>
      <c r="O127" s="991"/>
    </row>
    <row r="128" spans="1:15" s="992" customFormat="1" ht="14.25" x14ac:dyDescent="0.2">
      <c r="A128" s="993"/>
      <c r="B128" s="996"/>
      <c r="C128" s="996"/>
      <c r="D128" s="996"/>
      <c r="E128" s="996"/>
      <c r="F128" s="996"/>
      <c r="G128" s="996"/>
      <c r="H128" s="996"/>
      <c r="I128" s="996"/>
      <c r="J128" s="996"/>
      <c r="K128" s="996"/>
      <c r="L128" s="996"/>
      <c r="M128" s="991"/>
      <c r="N128" s="991"/>
      <c r="O128" s="991"/>
    </row>
    <row r="129" spans="1:15" s="992" customFormat="1" ht="13.5" customHeight="1" x14ac:dyDescent="0.2">
      <c r="A129" s="990" t="str">
        <f>ORÇ!A466</f>
        <v>19.2.4</v>
      </c>
      <c r="B129" s="1065" t="str">
        <f>ORÇ!D466</f>
        <v>LANÇAMENTO COM USO DE BALDES, ADENSAMENTO E ACABAMENTO DE CONCRETO EM ESTRUTURAS. AF_02/2022</v>
      </c>
      <c r="C129" s="1015"/>
      <c r="D129" s="1015"/>
      <c r="E129" s="1015"/>
      <c r="F129" s="1015"/>
      <c r="G129" s="1015"/>
      <c r="H129" s="1015"/>
      <c r="I129" s="1015"/>
      <c r="J129" s="1015"/>
      <c r="K129" s="1015"/>
      <c r="L129" s="1015"/>
      <c r="M129" s="991"/>
      <c r="N129" s="991"/>
      <c r="O129" s="991"/>
    </row>
    <row r="130" spans="1:15" s="992" customFormat="1" ht="13.5" customHeight="1" x14ac:dyDescent="0.2">
      <c r="A130" s="990"/>
      <c r="B130" s="1066"/>
      <c r="C130" s="1066"/>
      <c r="D130" s="1066"/>
      <c r="E130" s="1015"/>
      <c r="F130" s="1015"/>
      <c r="G130" s="1015"/>
      <c r="H130" s="1015"/>
      <c r="I130" s="1015"/>
      <c r="J130" s="1015"/>
      <c r="K130" s="1015"/>
      <c r="L130" s="1015"/>
      <c r="M130" s="991"/>
      <c r="N130" s="991"/>
      <c r="O130" s="991"/>
    </row>
    <row r="131" spans="1:15" s="992" customFormat="1" ht="13.5" customHeight="1" x14ac:dyDescent="0.2">
      <c r="A131" s="990"/>
      <c r="B131" s="1067" t="s">
        <v>1059</v>
      </c>
      <c r="C131" s="1067"/>
      <c r="D131" s="1068" t="str">
        <f>A111</f>
        <v>19.2.2</v>
      </c>
      <c r="E131" s="1016"/>
      <c r="F131" s="1016"/>
      <c r="G131" s="1016"/>
      <c r="H131" s="1016"/>
      <c r="I131" s="1015"/>
      <c r="J131" s="1015"/>
      <c r="K131" s="1015"/>
      <c r="L131" s="1015"/>
      <c r="M131" s="991"/>
      <c r="N131" s="991"/>
      <c r="O131" s="991"/>
    </row>
    <row r="132" spans="1:15" s="992" customFormat="1" ht="13.5" customHeight="1" x14ac:dyDescent="0.2">
      <c r="A132" s="990"/>
      <c r="B132" s="1030"/>
      <c r="C132" s="1030"/>
      <c r="D132" s="1030"/>
      <c r="E132" s="996"/>
      <c r="F132" s="996"/>
      <c r="G132" s="996"/>
      <c r="H132" s="996"/>
      <c r="I132" s="1015"/>
      <c r="J132" s="1015"/>
      <c r="K132" s="1015"/>
      <c r="L132" s="1015"/>
      <c r="M132" s="991"/>
      <c r="N132" s="991"/>
      <c r="O132" s="991"/>
    </row>
    <row r="133" spans="1:15" s="992" customFormat="1" ht="13.5" customHeight="1" x14ac:dyDescent="0.2">
      <c r="A133" s="990"/>
      <c r="B133" s="1026" t="s">
        <v>1044</v>
      </c>
      <c r="C133" s="1027">
        <f>C118</f>
        <v>0.74800000000000011</v>
      </c>
      <c r="D133" s="1028" t="s">
        <v>2</v>
      </c>
      <c r="E133" s="996"/>
      <c r="F133" s="996"/>
      <c r="G133" s="996"/>
      <c r="H133" s="996"/>
      <c r="I133" s="1015"/>
      <c r="J133" s="1015"/>
      <c r="K133" s="1015"/>
      <c r="L133" s="1015"/>
      <c r="M133" s="991"/>
      <c r="N133" s="991"/>
      <c r="O133" s="991"/>
    </row>
    <row r="134" spans="1:15" s="992" customFormat="1" ht="13.5" customHeight="1" x14ac:dyDescent="0.2">
      <c r="A134" s="990"/>
      <c r="B134" s="1015"/>
      <c r="C134" s="1015"/>
      <c r="D134" s="1015"/>
      <c r="E134" s="1015"/>
      <c r="F134" s="1015"/>
      <c r="G134" s="1015"/>
      <c r="H134" s="1015"/>
      <c r="I134" s="1015"/>
      <c r="J134" s="1015"/>
      <c r="K134" s="1015"/>
      <c r="L134" s="1015"/>
      <c r="M134" s="991"/>
      <c r="N134" s="991"/>
      <c r="O134" s="991"/>
    </row>
    <row r="135" spans="1:15" s="992" customFormat="1" ht="13.5" customHeight="1" x14ac:dyDescent="0.2">
      <c r="A135" s="990" t="str">
        <f>ORÇ!A467</f>
        <v>19.3</v>
      </c>
      <c r="B135" s="2038" t="str">
        <f>ORÇ!D467</f>
        <v>Base da Bomba</v>
      </c>
      <c r="C135" s="2037"/>
      <c r="D135" s="1015"/>
      <c r="E135" s="1015"/>
      <c r="F135" s="1015"/>
      <c r="G135" s="1015"/>
      <c r="H135" s="1015"/>
      <c r="I135" s="996"/>
      <c r="J135" s="1015"/>
      <c r="K135" s="1015"/>
      <c r="L135" s="1015"/>
      <c r="M135" s="991"/>
      <c r="N135" s="991"/>
      <c r="O135" s="991"/>
    </row>
    <row r="136" spans="1:15" s="992" customFormat="1" ht="30.75" customHeight="1" x14ac:dyDescent="0.2">
      <c r="A136" s="990" t="str">
        <f>ORÇ!A468</f>
        <v>19.3.1</v>
      </c>
      <c r="B136" s="2038" t="str">
        <f>ORÇ!D468</f>
        <v xml:space="preserve">FABRICAÇÃO, MONTAGEM E DESMONTAGEM DE FÔRMA PARA BLOCO DE COROAMENTO, EM MADEIRA SERRADA, E=25 MM, 2 UTILIZAÇÕES. AF_06/2017 </v>
      </c>
      <c r="C136" s="2037"/>
      <c r="D136" s="2037"/>
      <c r="E136" s="2037"/>
      <c r="F136" s="2037"/>
      <c r="G136" s="2037"/>
      <c r="H136" s="2037"/>
      <c r="I136" s="2037"/>
      <c r="J136" s="2037"/>
      <c r="K136" s="2037"/>
      <c r="L136" s="2037"/>
      <c r="M136" s="991"/>
      <c r="N136" s="991"/>
      <c r="O136" s="991"/>
    </row>
    <row r="137" spans="1:15" s="992" customFormat="1" ht="13.5" customHeight="1" x14ac:dyDescent="0.2">
      <c r="A137" s="990"/>
      <c r="B137" s="1014"/>
      <c r="C137" s="1015"/>
      <c r="D137" s="1015"/>
      <c r="E137" s="1015"/>
      <c r="F137" s="1015"/>
      <c r="G137" s="1015"/>
      <c r="H137" s="1015"/>
      <c r="I137" s="1015"/>
      <c r="J137" s="1015"/>
      <c r="K137" s="1015"/>
      <c r="L137" s="1015"/>
      <c r="M137" s="991"/>
      <c r="N137" s="991"/>
      <c r="O137" s="991"/>
    </row>
    <row r="138" spans="1:15" s="992" customFormat="1" ht="13.5" customHeight="1" x14ac:dyDescent="0.2">
      <c r="A138" s="990"/>
      <c r="B138" s="1074" t="s">
        <v>1071</v>
      </c>
      <c r="C138" s="1075"/>
      <c r="D138" s="1075"/>
      <c r="E138" s="1075"/>
      <c r="F138" s="1076"/>
      <c r="G138" s="1030"/>
      <c r="H138" s="1030"/>
      <c r="I138" s="1015"/>
      <c r="J138" s="1015"/>
      <c r="K138" s="1015"/>
      <c r="L138" s="1015"/>
      <c r="M138" s="991"/>
      <c r="N138" s="991"/>
      <c r="O138" s="991"/>
    </row>
    <row r="139" spans="1:15" s="992" customFormat="1" ht="13.5" customHeight="1" x14ac:dyDescent="0.2">
      <c r="A139" s="990"/>
      <c r="B139" s="1053" t="s">
        <v>87</v>
      </c>
      <c r="C139" s="1053"/>
      <c r="D139" s="1053" t="s">
        <v>1042</v>
      </c>
      <c r="E139" s="1053"/>
      <c r="F139" s="1053" t="s">
        <v>86</v>
      </c>
      <c r="G139" s="1053"/>
      <c r="H139" s="1053" t="s">
        <v>1072</v>
      </c>
      <c r="I139" s="1015"/>
      <c r="J139" s="1015"/>
      <c r="K139" s="1015"/>
      <c r="L139" s="1015"/>
      <c r="M139" s="991"/>
      <c r="N139" s="991"/>
      <c r="O139" s="991"/>
    </row>
    <row r="140" spans="1:15" s="992" customFormat="1" ht="13.5" customHeight="1" x14ac:dyDescent="0.2">
      <c r="A140" s="990"/>
      <c r="B140" s="1039">
        <f>0.65+0.65+0.5+0.5</f>
        <v>2.2999999999999998</v>
      </c>
      <c r="C140" s="1039" t="s">
        <v>71</v>
      </c>
      <c r="D140" s="1039">
        <v>0.25</v>
      </c>
      <c r="E140" s="1039" t="s">
        <v>72</v>
      </c>
      <c r="F140" s="1039">
        <f>ROUND((B140*D140),2)</f>
        <v>0.57999999999999996</v>
      </c>
      <c r="G140" s="1039" t="s">
        <v>71</v>
      </c>
      <c r="H140" s="1039">
        <v>2</v>
      </c>
      <c r="I140" s="1015"/>
      <c r="J140" s="1015"/>
      <c r="K140" s="1015"/>
      <c r="L140" s="1015"/>
      <c r="M140" s="991"/>
      <c r="N140" s="991"/>
      <c r="O140" s="991"/>
    </row>
    <row r="141" spans="1:15" s="992" customFormat="1" ht="13.5" customHeight="1" x14ac:dyDescent="0.2">
      <c r="A141" s="990"/>
      <c r="B141" s="1030"/>
      <c r="C141" s="1030"/>
      <c r="D141" s="1030"/>
      <c r="E141" s="1030"/>
      <c r="F141" s="1030"/>
      <c r="G141" s="1030"/>
      <c r="H141" s="1030"/>
      <c r="I141" s="1015"/>
      <c r="J141" s="1015"/>
      <c r="K141" s="1015"/>
      <c r="L141" s="1015"/>
      <c r="M141" s="991"/>
      <c r="N141" s="991"/>
      <c r="O141" s="991"/>
    </row>
    <row r="142" spans="1:15" s="992" customFormat="1" ht="13.5" customHeight="1" x14ac:dyDescent="0.2">
      <c r="A142" s="990"/>
      <c r="B142" s="1077" t="s">
        <v>1044</v>
      </c>
      <c r="C142" s="1063">
        <f>ROUND((F140*H140),2)</f>
        <v>1.1599999999999999</v>
      </c>
      <c r="D142" s="1073" t="s">
        <v>6</v>
      </c>
      <c r="E142" s="1030"/>
      <c r="F142" s="1030"/>
      <c r="G142" s="1030"/>
      <c r="H142" s="1030"/>
      <c r="I142" s="1015"/>
      <c r="J142" s="1015"/>
      <c r="K142" s="1015"/>
      <c r="L142" s="1015"/>
      <c r="M142" s="991"/>
      <c r="N142" s="991"/>
      <c r="O142" s="991"/>
    </row>
    <row r="143" spans="1:15" s="992" customFormat="1" ht="13.5" customHeight="1" x14ac:dyDescent="0.2">
      <c r="A143" s="990"/>
      <c r="B143" s="1015"/>
      <c r="C143" s="1015"/>
      <c r="D143" s="1015"/>
      <c r="E143" s="1015"/>
      <c r="F143" s="1015"/>
      <c r="G143" s="1015"/>
      <c r="H143" s="1015"/>
      <c r="I143" s="1015"/>
      <c r="J143" s="1015"/>
      <c r="K143" s="1015"/>
      <c r="L143" s="1015"/>
      <c r="M143" s="991"/>
      <c r="N143" s="991"/>
      <c r="O143" s="991"/>
    </row>
    <row r="144" spans="1:15" s="992" customFormat="1" ht="15" customHeight="1" x14ac:dyDescent="0.2">
      <c r="A144" s="990" t="str">
        <f>ORÇ!A469</f>
        <v>19.3.2</v>
      </c>
      <c r="B144" s="2038" t="str">
        <f>ORÇ!D469</f>
        <v xml:space="preserve">CONCRETO CICLÓPICO FCK = 15MPA, 30% PEDRA DE MÃO EM VOLUME REAL, INCLUSIVE LANÇAMENTO. AF_05/2021 </v>
      </c>
      <c r="C144" s="2037"/>
      <c r="D144" s="2037"/>
      <c r="E144" s="2037"/>
      <c r="F144" s="2037"/>
      <c r="G144" s="2037"/>
      <c r="H144" s="2037"/>
      <c r="I144" s="2037"/>
      <c r="J144" s="2037"/>
      <c r="K144" s="2037"/>
      <c r="L144" s="2037"/>
      <c r="M144" s="991"/>
      <c r="N144" s="991"/>
      <c r="O144" s="991"/>
    </row>
    <row r="145" spans="1:15" s="992" customFormat="1" ht="15" x14ac:dyDescent="0.2">
      <c r="A145" s="990"/>
      <c r="B145" s="996"/>
      <c r="C145" s="996"/>
      <c r="D145" s="996"/>
      <c r="E145" s="996"/>
      <c r="F145" s="996"/>
      <c r="G145" s="996"/>
      <c r="H145" s="996"/>
      <c r="I145" s="996"/>
      <c r="J145" s="996"/>
      <c r="K145" s="996"/>
      <c r="L145" s="996"/>
      <c r="M145" s="991"/>
      <c r="N145" s="991"/>
      <c r="O145" s="991"/>
    </row>
    <row r="146" spans="1:15" s="992" customFormat="1" ht="14.25" x14ac:dyDescent="0.2">
      <c r="A146" s="993"/>
      <c r="B146" s="2050" t="s">
        <v>1071</v>
      </c>
      <c r="C146" s="2051"/>
      <c r="D146" s="2051"/>
      <c r="E146" s="2051"/>
      <c r="F146" s="2051"/>
      <c r="G146" s="2051"/>
      <c r="H146" s="2052"/>
      <c r="I146" s="1030"/>
      <c r="J146" s="1030"/>
      <c r="K146" s="996"/>
      <c r="L146" s="996"/>
      <c r="M146" s="991"/>
      <c r="N146" s="991"/>
      <c r="O146" s="991"/>
    </row>
    <row r="147" spans="1:15" s="992" customFormat="1" ht="14.25" x14ac:dyDescent="0.2">
      <c r="A147" s="993"/>
      <c r="B147" s="1053" t="s">
        <v>225</v>
      </c>
      <c r="C147" s="1053"/>
      <c r="D147" s="1053" t="s">
        <v>331</v>
      </c>
      <c r="E147" s="1053"/>
      <c r="F147" s="1053" t="s">
        <v>291</v>
      </c>
      <c r="G147" s="1053"/>
      <c r="H147" s="1053" t="s">
        <v>86</v>
      </c>
      <c r="I147" s="1053"/>
      <c r="J147" s="1053" t="s">
        <v>1072</v>
      </c>
      <c r="K147" s="996"/>
      <c r="L147" s="996"/>
      <c r="M147" s="991"/>
      <c r="N147" s="991"/>
      <c r="O147" s="991"/>
    </row>
    <row r="148" spans="1:15" s="992" customFormat="1" ht="14.25" x14ac:dyDescent="0.2">
      <c r="A148" s="993"/>
      <c r="B148" s="1039">
        <v>0.65</v>
      </c>
      <c r="C148" s="1039" t="s">
        <v>71</v>
      </c>
      <c r="D148" s="1039">
        <v>0.5</v>
      </c>
      <c r="E148" s="1039" t="s">
        <v>71</v>
      </c>
      <c r="F148" s="1039">
        <v>0.3</v>
      </c>
      <c r="G148" s="1039" t="s">
        <v>72</v>
      </c>
      <c r="H148" s="1053">
        <f>ROUND((B148*D148*F148),2)</f>
        <v>0.1</v>
      </c>
      <c r="I148" s="1039" t="s">
        <v>71</v>
      </c>
      <c r="J148" s="1039">
        <f>H140</f>
        <v>2</v>
      </c>
      <c r="K148" s="996"/>
      <c r="L148" s="996"/>
      <c r="M148" s="991"/>
      <c r="N148" s="991"/>
      <c r="O148" s="991"/>
    </row>
    <row r="149" spans="1:15" s="992" customFormat="1" ht="14.25" x14ac:dyDescent="0.2">
      <c r="A149" s="993"/>
      <c r="B149" s="1030"/>
      <c r="C149" s="1030"/>
      <c r="D149" s="1030"/>
      <c r="E149" s="1030"/>
      <c r="F149" s="1030"/>
      <c r="G149" s="1030"/>
      <c r="H149" s="1030"/>
      <c r="I149" s="1030"/>
      <c r="J149" s="1030"/>
      <c r="K149" s="996"/>
      <c r="L149" s="996"/>
      <c r="M149" s="991"/>
      <c r="N149" s="991"/>
      <c r="O149" s="991"/>
    </row>
    <row r="150" spans="1:15" s="992" customFormat="1" ht="14.25" x14ac:dyDescent="0.2">
      <c r="A150" s="993"/>
      <c r="B150" s="1077" t="s">
        <v>1044</v>
      </c>
      <c r="C150" s="1063">
        <f>H148*J148</f>
        <v>0.2</v>
      </c>
      <c r="D150" s="1073" t="s">
        <v>2</v>
      </c>
      <c r="E150" s="1030"/>
      <c r="F150" s="1030"/>
      <c r="G150" s="1030"/>
      <c r="H150" s="1030"/>
      <c r="I150" s="1030"/>
      <c r="J150" s="1030"/>
      <c r="K150" s="996"/>
      <c r="L150" s="996"/>
      <c r="M150" s="991"/>
      <c r="N150" s="991"/>
      <c r="O150" s="991"/>
    </row>
    <row r="151" spans="1:15" s="992" customFormat="1" ht="13.5" customHeight="1" x14ac:dyDescent="0.2">
      <c r="A151" s="993"/>
      <c r="B151" s="996"/>
      <c r="C151" s="996"/>
      <c r="D151" s="996"/>
      <c r="E151" s="996"/>
      <c r="F151" s="996"/>
      <c r="G151" s="996"/>
      <c r="H151" s="996"/>
      <c r="I151" s="996"/>
      <c r="J151" s="996"/>
      <c r="K151" s="996"/>
      <c r="L151" s="996"/>
      <c r="M151" s="991"/>
      <c r="N151" s="991"/>
      <c r="O151" s="991"/>
    </row>
    <row r="152" spans="1:15" s="992" customFormat="1" ht="14.25" x14ac:dyDescent="0.2">
      <c r="A152" s="993"/>
      <c r="B152" s="996"/>
      <c r="C152" s="996"/>
      <c r="D152" s="996"/>
      <c r="E152" s="996"/>
      <c r="F152" s="996"/>
      <c r="G152" s="996"/>
      <c r="H152" s="996"/>
      <c r="I152" s="996"/>
      <c r="J152" s="996"/>
      <c r="K152" s="996"/>
      <c r="L152" s="996"/>
      <c r="M152" s="991"/>
      <c r="N152" s="991"/>
      <c r="O152" s="991"/>
    </row>
    <row r="153" spans="1:15" s="992" customFormat="1" ht="18" customHeight="1" x14ac:dyDescent="0.2">
      <c r="A153" s="990" t="str">
        <f>ORÇ!A470</f>
        <v>19.4</v>
      </c>
      <c r="B153" s="2038" t="str">
        <f>ORÇ!D470</f>
        <v>Escotilha da entrada da Casa de Bomba e Cisterna</v>
      </c>
      <c r="C153" s="2037"/>
      <c r="D153" s="2037"/>
      <c r="E153" s="2037"/>
      <c r="F153" s="2037"/>
      <c r="G153" s="2037"/>
      <c r="H153" s="2037"/>
      <c r="I153" s="2037"/>
      <c r="J153" s="2037"/>
      <c r="K153" s="2037"/>
      <c r="L153" s="2037"/>
      <c r="M153" s="991"/>
      <c r="N153" s="991"/>
      <c r="O153" s="991"/>
    </row>
    <row r="154" spans="1:15" s="992" customFormat="1" ht="33.75" customHeight="1" x14ac:dyDescent="0.2">
      <c r="A154" s="990" t="str">
        <f>ORÇ!A471</f>
        <v>19.4.1</v>
      </c>
      <c r="B154" s="2038" t="str">
        <f>ORÇ!D471</f>
        <v>TAMPA EM ESTRUTURA DE AÇO (CANTONEIRA 2"X2"X1/4" E CHAPA GSG 1,95MM) - PARA CASA DE BOMBA</v>
      </c>
      <c r="C154" s="2037"/>
      <c r="D154" s="2037"/>
      <c r="E154" s="2037"/>
      <c r="F154" s="2037"/>
      <c r="G154" s="2037"/>
      <c r="H154" s="2037"/>
      <c r="I154" s="2037"/>
      <c r="J154" s="2037"/>
      <c r="K154" s="2037"/>
      <c r="L154" s="2037"/>
      <c r="M154" s="991"/>
      <c r="N154" s="991"/>
      <c r="O154" s="991"/>
    </row>
    <row r="155" spans="1:15" s="992" customFormat="1" ht="14.25" x14ac:dyDescent="0.2">
      <c r="A155" s="993"/>
      <c r="B155" s="996"/>
      <c r="C155" s="996"/>
      <c r="D155" s="996"/>
      <c r="E155" s="996"/>
      <c r="F155" s="996"/>
      <c r="G155" s="996"/>
      <c r="H155" s="996"/>
      <c r="I155" s="996"/>
      <c r="J155" s="996"/>
      <c r="K155" s="996"/>
      <c r="L155" s="996"/>
      <c r="M155" s="991"/>
      <c r="N155" s="991"/>
      <c r="O155" s="991"/>
    </row>
    <row r="156" spans="1:15" s="992" customFormat="1" ht="14.25" x14ac:dyDescent="0.2">
      <c r="A156" s="993"/>
      <c r="B156" s="1017" t="s">
        <v>1044</v>
      </c>
      <c r="C156" s="1002">
        <f>J148</f>
        <v>2</v>
      </c>
      <c r="D156" s="1013" t="s">
        <v>96</v>
      </c>
      <c r="E156" s="996"/>
      <c r="F156" s="996"/>
      <c r="G156" s="996"/>
      <c r="H156" s="996"/>
      <c r="I156" s="996"/>
      <c r="J156" s="996"/>
      <c r="K156" s="996"/>
      <c r="L156" s="996"/>
      <c r="M156" s="991"/>
      <c r="N156" s="991"/>
      <c r="O156" s="991"/>
    </row>
    <row r="157" spans="1:15" s="992" customFormat="1" ht="14.25" x14ac:dyDescent="0.2">
      <c r="A157" s="993"/>
      <c r="B157" s="996"/>
      <c r="C157" s="996"/>
      <c r="D157" s="996"/>
      <c r="E157" s="996"/>
      <c r="F157" s="996"/>
      <c r="G157" s="996"/>
      <c r="H157" s="996"/>
      <c r="I157" s="996"/>
      <c r="J157" s="996"/>
      <c r="K157" s="996"/>
      <c r="L157" s="996"/>
      <c r="M157" s="991"/>
      <c r="N157" s="991"/>
      <c r="O157" s="991"/>
    </row>
    <row r="158" spans="1:15" s="992" customFormat="1" ht="30" customHeight="1" x14ac:dyDescent="0.2">
      <c r="A158" s="990" t="str">
        <f>ORÇ!A472</f>
        <v>19.4.2</v>
      </c>
      <c r="B158" s="2038" t="str">
        <f>ORÇ!D472</f>
        <v>TAMPA EM ESTRUTURA DE AÇO (CANTONEIRA 2"X2"X1/4" E CHAPA GSG 1,95MM) COM APOIO EM CONCRETO - PARA CISTERNA</v>
      </c>
      <c r="C158" s="2037"/>
      <c r="D158" s="2037"/>
      <c r="E158" s="2037"/>
      <c r="F158" s="2037"/>
      <c r="G158" s="2037"/>
      <c r="H158" s="2037"/>
      <c r="I158" s="2037"/>
      <c r="J158" s="2037"/>
      <c r="K158" s="2037"/>
      <c r="L158" s="2037"/>
      <c r="M158" s="991"/>
      <c r="N158" s="991"/>
      <c r="O158" s="991"/>
    </row>
    <row r="159" spans="1:15" s="992" customFormat="1" ht="14.25" x14ac:dyDescent="0.2">
      <c r="A159" s="993"/>
      <c r="B159" s="996"/>
      <c r="C159" s="996"/>
      <c r="D159" s="996"/>
      <c r="E159" s="996"/>
      <c r="F159" s="996"/>
      <c r="G159" s="996"/>
      <c r="H159" s="996"/>
      <c r="I159" s="996"/>
      <c r="J159" s="996"/>
      <c r="K159" s="996"/>
      <c r="L159" s="996"/>
      <c r="M159" s="991"/>
      <c r="N159" s="991"/>
      <c r="O159" s="991"/>
    </row>
    <row r="160" spans="1:15" s="992" customFormat="1" ht="14.25" x14ac:dyDescent="0.2">
      <c r="A160" s="993"/>
      <c r="B160" s="1017" t="s">
        <v>1044</v>
      </c>
      <c r="C160" s="1002">
        <v>2</v>
      </c>
      <c r="D160" s="1013" t="s">
        <v>96</v>
      </c>
      <c r="E160" s="996"/>
      <c r="F160" s="996"/>
      <c r="G160" s="996"/>
      <c r="H160" s="996"/>
      <c r="I160" s="996"/>
      <c r="J160" s="996"/>
      <c r="K160" s="996"/>
      <c r="L160" s="996"/>
      <c r="M160" s="991"/>
      <c r="N160" s="991"/>
      <c r="O160" s="991"/>
    </row>
    <row r="161" spans="1:15" s="992" customFormat="1" ht="14.25" x14ac:dyDescent="0.2">
      <c r="A161" s="993"/>
      <c r="B161" s="996"/>
      <c r="C161" s="996"/>
      <c r="D161" s="996"/>
      <c r="E161" s="996"/>
      <c r="F161" s="996"/>
      <c r="G161" s="996"/>
      <c r="H161" s="996"/>
      <c r="I161" s="996"/>
      <c r="J161" s="996"/>
      <c r="K161" s="996"/>
      <c r="L161" s="996"/>
      <c r="M161" s="991"/>
      <c r="N161" s="991"/>
      <c r="O161" s="991"/>
    </row>
    <row r="162" spans="1:15" s="992" customFormat="1" ht="25.5" customHeight="1" x14ac:dyDescent="0.2">
      <c r="A162" s="990" t="str">
        <f>ORÇ!A473</f>
        <v>19.4.3</v>
      </c>
      <c r="B162" s="2038" t="str">
        <f>ORÇ!D473</f>
        <v xml:space="preserve">PORTA CADEADO ZINCADO OXIDADO PRETO COM CADEADO DE AÇO INOX, LARGURA DE *50* MM. AF_12/2019 </v>
      </c>
      <c r="C162" s="2037"/>
      <c r="D162" s="2037"/>
      <c r="E162" s="2037"/>
      <c r="F162" s="2037"/>
      <c r="G162" s="2037"/>
      <c r="H162" s="2037"/>
      <c r="I162" s="2037"/>
      <c r="J162" s="2037"/>
      <c r="K162" s="2037"/>
      <c r="L162" s="2037"/>
      <c r="M162" s="991"/>
      <c r="N162" s="991"/>
      <c r="O162" s="991"/>
    </row>
    <row r="163" spans="1:15" s="992" customFormat="1" ht="14.25" x14ac:dyDescent="0.2">
      <c r="A163" s="993"/>
      <c r="B163" s="996"/>
      <c r="C163" s="996"/>
      <c r="D163" s="996"/>
      <c r="E163" s="996"/>
      <c r="F163" s="996"/>
      <c r="G163" s="996"/>
      <c r="H163" s="996"/>
      <c r="I163" s="996"/>
      <c r="J163" s="996"/>
      <c r="K163" s="996"/>
      <c r="L163" s="996"/>
      <c r="M163" s="991"/>
      <c r="N163" s="991"/>
      <c r="O163" s="991"/>
    </row>
    <row r="164" spans="1:15" s="992" customFormat="1" ht="14.25" x14ac:dyDescent="0.2">
      <c r="A164" s="993"/>
      <c r="B164" s="1017" t="s">
        <v>1044</v>
      </c>
      <c r="C164" s="1018">
        <f>SUM(C160,C156)*4</f>
        <v>16</v>
      </c>
      <c r="D164" s="1019" t="s">
        <v>96</v>
      </c>
      <c r="E164" s="996"/>
      <c r="F164" s="996"/>
      <c r="G164" s="996"/>
      <c r="H164" s="996"/>
      <c r="I164" s="996"/>
      <c r="J164" s="996"/>
      <c r="K164" s="996"/>
      <c r="L164" s="996"/>
      <c r="M164" s="991"/>
      <c r="N164" s="991"/>
      <c r="O164" s="991"/>
    </row>
  </sheetData>
  <mergeCells count="46">
    <mergeCell ref="B146:H146"/>
    <mergeCell ref="B153:L153"/>
    <mergeCell ref="B154:L154"/>
    <mergeCell ref="B158:L158"/>
    <mergeCell ref="B162:L162"/>
    <mergeCell ref="B144:L144"/>
    <mergeCell ref="B100:L100"/>
    <mergeCell ref="I102:J102"/>
    <mergeCell ref="I103:J103"/>
    <mergeCell ref="I104:J104"/>
    <mergeCell ref="I105:J105"/>
    <mergeCell ref="I106:J106"/>
    <mergeCell ref="B111:L111"/>
    <mergeCell ref="B113:H113"/>
    <mergeCell ref="B120:L120"/>
    <mergeCell ref="B135:C135"/>
    <mergeCell ref="B136:L136"/>
    <mergeCell ref="B99:L99"/>
    <mergeCell ref="B16:L16"/>
    <mergeCell ref="B27:L27"/>
    <mergeCell ref="C29:G29"/>
    <mergeCell ref="B39:L39"/>
    <mergeCell ref="B55:L55"/>
    <mergeCell ref="B71:L71"/>
    <mergeCell ref="B82:L82"/>
    <mergeCell ref="C74:C77"/>
    <mergeCell ref="C85:C88"/>
    <mergeCell ref="B15:L15"/>
    <mergeCell ref="B5:G5"/>
    <mergeCell ref="H5:I6"/>
    <mergeCell ref="J5:N6"/>
    <mergeCell ref="A6:A7"/>
    <mergeCell ref="B6:G7"/>
    <mergeCell ref="H7:I7"/>
    <mergeCell ref="J7:N7"/>
    <mergeCell ref="A9:N9"/>
    <mergeCell ref="A10:N10"/>
    <mergeCell ref="A11:N11"/>
    <mergeCell ref="B13:L13"/>
    <mergeCell ref="B14:L14"/>
    <mergeCell ref="B4:N4"/>
    <mergeCell ref="A1:N1"/>
    <mergeCell ref="B2:I2"/>
    <mergeCell ref="J2:K2"/>
    <mergeCell ref="L2:N2"/>
    <mergeCell ref="B3:N3"/>
  </mergeCells>
  <phoneticPr fontId="4" type="noConversion"/>
  <pageMargins left="0.511811024" right="0.511811024" top="0.78740157499999996" bottom="0.78740157499999996" header="0.31496062000000002" footer="0.31496062000000002"/>
  <pageSetup paperSize="9" scale="66" orientation="portrait" horizontalDpi="360" verticalDpi="36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view="pageBreakPreview" topLeftCell="A30" zoomScaleNormal="100" zoomScaleSheetLayoutView="100" workbookViewId="0">
      <selection activeCell="B16" sqref="B16"/>
    </sheetView>
  </sheetViews>
  <sheetFormatPr defaultRowHeight="12.75" x14ac:dyDescent="0.2"/>
  <cols>
    <col min="2" max="2" width="15.5703125" customWidth="1"/>
    <col min="3" max="3" width="14.140625" customWidth="1"/>
    <col min="4" max="4" width="9.85546875" customWidth="1"/>
    <col min="5" max="6" width="10.28515625" customWidth="1"/>
    <col min="7" max="7" width="11.28515625" customWidth="1"/>
  </cols>
  <sheetData>
    <row r="1" spans="1:17" ht="75.7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7" ht="30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7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7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7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7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7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7" ht="13.5" thickBot="1" x14ac:dyDescent="0.25"/>
    <row r="9" spans="1:17" ht="13.5" thickBot="1" x14ac:dyDescent="0.25">
      <c r="A9" s="1865" t="s">
        <v>764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6"/>
      <c r="L9" s="1866"/>
      <c r="M9" s="1866"/>
      <c r="N9" s="1867"/>
    </row>
    <row r="10" spans="1:17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7"/>
    </row>
    <row r="11" spans="1:17" ht="13.5" thickBot="1" x14ac:dyDescent="0.25">
      <c r="A11" s="1865" t="str">
        <f>ORÇ!D476</f>
        <v>Fachadas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6"/>
      <c r="L11" s="1866"/>
      <c r="M11" s="1866"/>
      <c r="N11" s="1867"/>
    </row>
    <row r="12" spans="1:17" x14ac:dyDescent="0.2">
      <c r="A12" s="418"/>
      <c r="B12" s="418"/>
      <c r="C12" s="418"/>
      <c r="D12" s="418"/>
      <c r="E12" s="418"/>
      <c r="F12" s="418"/>
      <c r="G12" s="418"/>
      <c r="H12" s="418"/>
      <c r="I12" s="418"/>
      <c r="J12" s="418"/>
      <c r="K12" s="418"/>
    </row>
    <row r="13" spans="1:17" x14ac:dyDescent="0.2">
      <c r="A13" s="1483">
        <f>ORÇ!A476</f>
        <v>20</v>
      </c>
      <c r="B13" s="596" t="str">
        <f>ORÇ!D476</f>
        <v>Fachadas</v>
      </c>
      <c r="C13" s="420"/>
      <c r="D13" s="861"/>
      <c r="E13" s="861"/>
      <c r="F13" s="861"/>
      <c r="G13" s="861"/>
      <c r="H13" s="861"/>
      <c r="I13" s="861"/>
      <c r="J13" s="861"/>
    </row>
    <row r="14" spans="1:17" s="379" customFormat="1" x14ac:dyDescent="0.2">
      <c r="A14" s="865" t="str">
        <f>ORÇ!A477</f>
        <v>20.1</v>
      </c>
      <c r="B14" s="1887" t="str">
        <f>ORÇ!D477</f>
        <v>Porcelanato (natural) - Padrão Médio</v>
      </c>
      <c r="C14" s="1887"/>
      <c r="D14" s="1887"/>
      <c r="E14" s="1887"/>
      <c r="F14" s="1887"/>
      <c r="G14" s="1887"/>
      <c r="H14" s="1887"/>
      <c r="I14" s="1887"/>
      <c r="J14" s="1887"/>
      <c r="K14" s="1887"/>
      <c r="L14" s="1887"/>
      <c r="M14" s="1887"/>
      <c r="N14" s="1887"/>
      <c r="O14"/>
      <c r="P14"/>
      <c r="Q14"/>
    </row>
    <row r="15" spans="1:17" s="379" customFormat="1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379" customFormat="1" x14ac:dyDescent="0.2">
      <c r="A16"/>
      <c r="B16" t="s">
        <v>765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 s="379" customFormat="1" x14ac:dyDescent="0.2">
      <c r="A17"/>
      <c r="B17" s="864" t="s">
        <v>224</v>
      </c>
      <c r="D17" s="864" t="s">
        <v>225</v>
      </c>
      <c r="E17" s="864"/>
      <c r="F17" s="864" t="s">
        <v>291</v>
      </c>
      <c r="G17" s="864"/>
      <c r="H17" s="864" t="s">
        <v>263</v>
      </c>
      <c r="J17"/>
      <c r="K17"/>
      <c r="L17"/>
      <c r="M17"/>
      <c r="N17"/>
      <c r="O17"/>
      <c r="P17"/>
      <c r="Q17"/>
    </row>
    <row r="18" spans="1:17" s="379" customFormat="1" x14ac:dyDescent="0.2">
      <c r="A18"/>
      <c r="B18" s="721" t="s">
        <v>1216</v>
      </c>
      <c r="D18" s="339">
        <v>4.4000000000000004</v>
      </c>
      <c r="E18" s="864" t="s">
        <v>71</v>
      </c>
      <c r="F18" s="339">
        <v>5.9</v>
      </c>
      <c r="G18" s="864" t="s">
        <v>72</v>
      </c>
      <c r="H18" s="339">
        <f>ROUND(D18*F18,2)</f>
        <v>25.96</v>
      </c>
      <c r="J18"/>
      <c r="K18"/>
      <c r="L18"/>
      <c r="M18"/>
      <c r="N18"/>
      <c r="O18"/>
      <c r="P18"/>
      <c r="Q18"/>
    </row>
    <row r="19" spans="1:17" s="379" customFormat="1" x14ac:dyDescent="0.2">
      <c r="A19"/>
      <c r="B19" s="721" t="s">
        <v>1217</v>
      </c>
      <c r="C19"/>
      <c r="D19" s="1229">
        <v>2.85</v>
      </c>
      <c r="E19" s="1229" t="s">
        <v>71</v>
      </c>
      <c r="F19" s="1229">
        <v>7.15</v>
      </c>
      <c r="G19" s="1229" t="s">
        <v>72</v>
      </c>
      <c r="H19" s="339">
        <f>ROUND(D19*F19,2)</f>
        <v>20.38</v>
      </c>
      <c r="J19"/>
      <c r="K19"/>
      <c r="L19"/>
      <c r="M19"/>
      <c r="N19"/>
      <c r="O19"/>
      <c r="P19"/>
      <c r="Q19"/>
    </row>
    <row r="20" spans="1:17" s="379" customFormat="1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 x14ac:dyDescent="0.2">
      <c r="A21" s="596"/>
      <c r="B21" s="863" t="s">
        <v>306</v>
      </c>
      <c r="C21" s="171">
        <f>SUM(H18:H19)</f>
        <v>46.34</v>
      </c>
      <c r="D21" s="172" t="s">
        <v>6</v>
      </c>
    </row>
    <row r="22" spans="1:17" x14ac:dyDescent="0.2">
      <c r="A22" s="883"/>
      <c r="B22" s="883"/>
      <c r="C22" s="379"/>
    </row>
    <row r="23" spans="1:17" ht="31.5" customHeight="1" x14ac:dyDescent="0.2">
      <c r="A23" s="865" t="str">
        <f>ORÇ!A478</f>
        <v>20.2</v>
      </c>
      <c r="B23" s="1887" t="str">
        <f>ORÇ!D478</f>
        <v>FORNECIMENTO E INSTALAÇÃO DE BRISE HORIZONTAL EM MADEIRA DE LEI COM PINTURA EM VERNIZ, COM ESTRUTURA METÁLICAS EM PERFIS U - 75X4 E=2,35MM E INCLUINDO PINTURA ANTICORROSIVA SOBRE PERFIL METÁLICO - DIMENSÕES: (6,13+2,05)X6,26M - BRISE SOLEIL 01</v>
      </c>
      <c r="C23" s="1887"/>
      <c r="D23" s="1887"/>
      <c r="E23" s="1887"/>
      <c r="F23" s="1887"/>
      <c r="G23" s="1887"/>
      <c r="H23" s="1887"/>
      <c r="I23" s="1887"/>
      <c r="J23" s="1887"/>
      <c r="K23" s="1887"/>
      <c r="L23" s="1887"/>
      <c r="M23" s="1887"/>
      <c r="N23" s="1887"/>
    </row>
    <row r="25" spans="1:17" x14ac:dyDescent="0.2">
      <c r="B25" s="863" t="s">
        <v>250</v>
      </c>
      <c r="C25" s="171">
        <v>1</v>
      </c>
      <c r="D25" s="172" t="s">
        <v>236</v>
      </c>
    </row>
    <row r="26" spans="1:17" x14ac:dyDescent="0.2">
      <c r="A26" s="883"/>
      <c r="B26" s="883"/>
      <c r="C26" s="379"/>
    </row>
    <row r="27" spans="1:17" ht="28.5" customHeight="1" x14ac:dyDescent="0.2">
      <c r="A27" s="1138" t="str">
        <f>ORÇ!A479</f>
        <v>20.3</v>
      </c>
      <c r="B27" s="1887" t="str">
        <f>ORÇ!D479</f>
        <v>FORNECIMENTO E INSTALAÇÃO DE BRISE HORIZONTAL EM MADEIRA DE LEI COM PINTURA EM VERNIZ, COM ESTRUTURA METÁLICAS EM PERFIS U - 75X4 E=2,35MM E INCLUINDO PINTURA ANTICORROSIVA SOBRE PERFIL METÁLICO - DIMENSÕES:(4,20+4,15)X 6,26M BRISE SOLEIL 02</v>
      </c>
      <c r="C27" s="1887"/>
      <c r="D27" s="1887"/>
      <c r="E27" s="1887"/>
      <c r="F27" s="1887"/>
      <c r="G27" s="1887"/>
      <c r="H27" s="1887"/>
      <c r="I27" s="1887"/>
      <c r="J27" s="1887"/>
      <c r="K27" s="1887"/>
      <c r="L27" s="1887"/>
      <c r="M27" s="1887"/>
      <c r="N27" s="1887"/>
    </row>
    <row r="29" spans="1:17" x14ac:dyDescent="0.2">
      <c r="B29" s="1135" t="s">
        <v>250</v>
      </c>
      <c r="C29" s="171">
        <v>1</v>
      </c>
      <c r="D29" s="172" t="s">
        <v>236</v>
      </c>
    </row>
    <row r="31" spans="1:17" ht="30" customHeight="1" x14ac:dyDescent="0.2">
      <c r="A31" s="1205" t="str">
        <f>ORÇ!A480</f>
        <v>20.4</v>
      </c>
      <c r="B31" s="1887" t="str">
        <f>ORÇ!D480</f>
        <v>PAINEL RIPADO COM SARRAFOS DE DIMENSÕES 3X7 CM PINTADOS COM IMUNIZANTE E ENVERNIZADOS, FIXADOS NAS PAREDES COM PARABOLT DIÂMETRO 3/8"</v>
      </c>
      <c r="C31" s="1887"/>
      <c r="D31" s="1887"/>
      <c r="E31" s="1887"/>
      <c r="F31" s="1887"/>
      <c r="G31" s="1887"/>
      <c r="H31" s="1887"/>
      <c r="I31" s="1887"/>
      <c r="J31" s="1887"/>
      <c r="K31" s="1887"/>
      <c r="L31" s="1887"/>
      <c r="M31" s="1887"/>
      <c r="N31" s="1887"/>
    </row>
    <row r="33" spans="1:14" x14ac:dyDescent="0.2">
      <c r="B33" s="1240" t="s">
        <v>1209</v>
      </c>
    </row>
    <row r="34" spans="1:14" x14ac:dyDescent="0.2">
      <c r="C34" s="1201" t="s">
        <v>1212</v>
      </c>
      <c r="D34" s="1203"/>
      <c r="E34" s="1201" t="s">
        <v>1213</v>
      </c>
      <c r="F34" s="1203"/>
      <c r="G34" s="1201" t="s">
        <v>1136</v>
      </c>
      <c r="H34" s="1203"/>
      <c r="I34" s="1203"/>
    </row>
    <row r="35" spans="1:14" x14ac:dyDescent="0.2">
      <c r="B35" s="1201" t="s">
        <v>1211</v>
      </c>
      <c r="C35" s="339">
        <v>5</v>
      </c>
      <c r="D35" s="1201" t="s">
        <v>71</v>
      </c>
      <c r="E35" s="339">
        <v>7.4</v>
      </c>
      <c r="F35" s="1201" t="s">
        <v>71</v>
      </c>
      <c r="G35" s="339">
        <v>1</v>
      </c>
      <c r="H35" s="1201" t="s">
        <v>72</v>
      </c>
      <c r="I35" s="339">
        <f>ROUND((C35*E35*G35),2)</f>
        <v>37</v>
      </c>
      <c r="J35" s="38" t="s">
        <v>6</v>
      </c>
    </row>
    <row r="37" spans="1:14" x14ac:dyDescent="0.2">
      <c r="B37" s="1240" t="s">
        <v>1210</v>
      </c>
    </row>
    <row r="38" spans="1:14" x14ac:dyDescent="0.2">
      <c r="C38" s="1201" t="s">
        <v>1212</v>
      </c>
      <c r="D38" s="1203"/>
      <c r="E38" s="1201" t="s">
        <v>1213</v>
      </c>
      <c r="F38" s="1203"/>
      <c r="G38" s="1201" t="s">
        <v>1136</v>
      </c>
      <c r="H38" s="1203"/>
      <c r="I38" s="1203"/>
    </row>
    <row r="39" spans="1:14" x14ac:dyDescent="0.2">
      <c r="B39" s="1201" t="s">
        <v>1211</v>
      </c>
      <c r="C39" s="339">
        <v>2.4</v>
      </c>
      <c r="D39" s="1201" t="s">
        <v>71</v>
      </c>
      <c r="E39" s="339">
        <v>2.5</v>
      </c>
      <c r="F39" s="1201" t="s">
        <v>71</v>
      </c>
      <c r="G39" s="339">
        <v>2</v>
      </c>
      <c r="H39" s="1201" t="s">
        <v>72</v>
      </c>
      <c r="I39" s="339">
        <f>ROUND((C39*E39*G39),2)</f>
        <v>12</v>
      </c>
      <c r="J39" s="38" t="s">
        <v>6</v>
      </c>
    </row>
    <row r="41" spans="1:14" x14ac:dyDescent="0.2">
      <c r="B41" s="1198" t="s">
        <v>1211</v>
      </c>
      <c r="C41" s="171">
        <f>I35+I39</f>
        <v>49</v>
      </c>
      <c r="D41" s="172" t="s">
        <v>6</v>
      </c>
    </row>
    <row r="43" spans="1:14" ht="31.5" customHeight="1" x14ac:dyDescent="0.2">
      <c r="A43" s="1205" t="str">
        <f>ORÇ!A481</f>
        <v>20.5</v>
      </c>
      <c r="B43" s="1887" t="str">
        <f>ORÇ!D481</f>
        <v>ELEMENTO DECORATIVO EM ESTRUTURA DE METALON REVESTIDO EM ACM COM ACABAMENTO AMADEIRADO TIPO "CASTANHA", RETANGULAR, COM DIMENSÕES 0,30X0,50X2,90M</v>
      </c>
      <c r="C43" s="1887"/>
      <c r="D43" s="1887"/>
      <c r="E43" s="1887"/>
      <c r="F43" s="1887"/>
      <c r="G43" s="1887"/>
      <c r="H43" s="1887"/>
      <c r="I43" s="1887"/>
      <c r="J43" s="1887"/>
      <c r="K43" s="1887"/>
      <c r="L43" s="1887"/>
      <c r="M43" s="1887"/>
      <c r="N43" s="1887"/>
    </row>
    <row r="45" spans="1:14" x14ac:dyDescent="0.2">
      <c r="B45" s="1198" t="s">
        <v>250</v>
      </c>
      <c r="C45" s="171">
        <v>3</v>
      </c>
      <c r="D45" s="172" t="s">
        <v>236</v>
      </c>
    </row>
    <row r="47" spans="1:14" x14ac:dyDescent="0.2">
      <c r="A47" s="1205" t="str">
        <f>ORÇ!A482</f>
        <v>20.6</v>
      </c>
      <c r="B47" s="2053" t="str">
        <f>ORÇ!D482</f>
        <v>Painel para fachada em Aço Corten com estrutura em metalon para fixação. Dimensões: 1,0x6,0m - Fornecimento e Instalação</v>
      </c>
      <c r="C47" s="2053"/>
      <c r="D47" s="2053"/>
      <c r="E47" s="2053"/>
      <c r="F47" s="2053"/>
      <c r="G47" s="2053"/>
      <c r="H47" s="2053"/>
      <c r="I47" s="2053"/>
      <c r="J47" s="2053"/>
      <c r="K47" s="2053"/>
      <c r="L47" s="2053"/>
      <c r="M47" s="2053"/>
      <c r="N47" s="2053"/>
    </row>
    <row r="49" spans="2:10" x14ac:dyDescent="0.2">
      <c r="C49" s="1201" t="s">
        <v>1212</v>
      </c>
      <c r="D49" s="1203"/>
      <c r="E49" s="1201" t="s">
        <v>1213</v>
      </c>
      <c r="F49" s="1203"/>
      <c r="G49" s="1201" t="s">
        <v>1136</v>
      </c>
      <c r="H49" s="1203"/>
      <c r="I49" s="1203"/>
    </row>
    <row r="50" spans="2:10" x14ac:dyDescent="0.2">
      <c r="B50" s="1201" t="s">
        <v>1211</v>
      </c>
      <c r="C50" s="339">
        <v>1</v>
      </c>
      <c r="D50" s="1201" t="s">
        <v>71</v>
      </c>
      <c r="E50" s="339">
        <v>6</v>
      </c>
      <c r="F50" s="1201" t="s">
        <v>71</v>
      </c>
      <c r="G50" s="339">
        <v>1</v>
      </c>
      <c r="H50" s="1201" t="s">
        <v>72</v>
      </c>
      <c r="I50" s="339">
        <f>ROUND((C50*E50*G50),2)</f>
        <v>6</v>
      </c>
      <c r="J50" s="38" t="s">
        <v>6</v>
      </c>
    </row>
    <row r="52" spans="2:10" x14ac:dyDescent="0.2">
      <c r="B52" s="1198" t="s">
        <v>1211</v>
      </c>
      <c r="C52" s="171">
        <f>I50</f>
        <v>6</v>
      </c>
      <c r="D52" s="172" t="s">
        <v>6</v>
      </c>
    </row>
  </sheetData>
  <mergeCells count="22">
    <mergeCell ref="B23:N23"/>
    <mergeCell ref="B27:N27"/>
    <mergeCell ref="A9:N9"/>
    <mergeCell ref="A10:N10"/>
    <mergeCell ref="A11:N11"/>
    <mergeCell ref="B14:N14"/>
    <mergeCell ref="B31:N31"/>
    <mergeCell ref="B43:N43"/>
    <mergeCell ref="B47:N47"/>
    <mergeCell ref="B4:N4"/>
    <mergeCell ref="A1:N1"/>
    <mergeCell ref="B2:I2"/>
    <mergeCell ref="J2:K2"/>
    <mergeCell ref="L2:N2"/>
    <mergeCell ref="B3:N3"/>
    <mergeCell ref="B5:G5"/>
    <mergeCell ref="H5:I6"/>
    <mergeCell ref="J5:N6"/>
    <mergeCell ref="A6:A7"/>
    <mergeCell ref="B6:G7"/>
    <mergeCell ref="H7:I7"/>
    <mergeCell ref="J7:N7"/>
  </mergeCells>
  <phoneticPr fontId="4" type="noConversion"/>
  <pageMargins left="0.511811024" right="0.511811024" top="0.78740157499999996" bottom="0.78740157499999996" header="0.31496062000000002" footer="0.31496062000000002"/>
  <pageSetup paperSize="9" scale="60" orientation="portrait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topLeftCell="A7" zoomScale="115" zoomScaleNormal="100" zoomScaleSheetLayoutView="115" workbookViewId="0">
      <selection activeCell="C17" sqref="C17"/>
    </sheetView>
  </sheetViews>
  <sheetFormatPr defaultRowHeight="12.75" x14ac:dyDescent="0.2"/>
  <cols>
    <col min="1" max="1" width="16.28515625" customWidth="1"/>
    <col min="2" max="2" width="24.42578125" bestFit="1" customWidth="1"/>
  </cols>
  <sheetData>
    <row r="1" spans="1:14" ht="75.75" customHeight="1" x14ac:dyDescent="0.2">
      <c r="A1" s="1992" t="str">
        <f>SER.PREL.2!A1</f>
        <v>GOVERNO DO ESTADO DO PARÁ
PREFEITURA MUNICIPAL DE PLACAS
CNPJ 01.611.858/0001-55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</row>
    <row r="2" spans="1:14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848"/>
      <c r="H2" s="1848"/>
      <c r="I2" s="1848"/>
      <c r="J2" s="1707" t="s">
        <v>136</v>
      </c>
      <c r="K2" s="1708"/>
      <c r="L2" s="1993" t="str">
        <f>SER.PREL.2!I2</f>
        <v>PLACAS / PA</v>
      </c>
      <c r="M2" s="1994"/>
      <c r="N2" s="1995"/>
    </row>
    <row r="3" spans="1:14" ht="15" x14ac:dyDescent="0.2">
      <c r="A3" s="326" t="s">
        <v>127</v>
      </c>
      <c r="B3" s="1696" t="str">
        <f>SER.PREL.2!B3</f>
        <v>CONSTRUÇÃO DO COMPLEXO ADMINISTRATIVO DO MUNICIPIO DE PLACAS</v>
      </c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1991"/>
    </row>
    <row r="4" spans="1:14" ht="15" x14ac:dyDescent="0.2">
      <c r="A4" s="326" t="s">
        <v>228</v>
      </c>
      <c r="B4" s="1696" t="str">
        <f>SER.PREL.2!B4</f>
        <v>RUA OLAVO BILAC N° 408, BAIRRO CENTRO – PLACAS/PARÁ</v>
      </c>
      <c r="C4" s="1991"/>
      <c r="D4" s="1991"/>
      <c r="E4" s="1991"/>
      <c r="F4" s="1991"/>
      <c r="G4" s="1991"/>
      <c r="H4" s="1991"/>
      <c r="I4" s="1991"/>
      <c r="J4" s="1991"/>
      <c r="K4" s="1991"/>
      <c r="L4" s="1991"/>
      <c r="M4" s="1991"/>
      <c r="N4" s="1991"/>
    </row>
    <row r="5" spans="1:14" ht="15" x14ac:dyDescent="0.2">
      <c r="A5" s="334" t="s">
        <v>128</v>
      </c>
      <c r="B5" s="1868">
        <f>SER.PREL.2!B5</f>
        <v>0.28820000000000001</v>
      </c>
      <c r="C5" s="1868"/>
      <c r="D5" s="1868"/>
      <c r="E5" s="1868"/>
      <c r="F5" s="1868"/>
      <c r="G5" s="1868"/>
      <c r="H5" s="1987" t="s">
        <v>103</v>
      </c>
      <c r="I5" s="1987"/>
      <c r="J5" s="1717" t="str">
        <f>SER.PREL.2!G5</f>
        <v>SINAPI ABRIL/2022 - DESONERADA</v>
      </c>
      <c r="K5" s="1718"/>
      <c r="L5" s="1718"/>
      <c r="M5" s="1718"/>
      <c r="N5" s="1988"/>
    </row>
    <row r="6" spans="1:14" x14ac:dyDescent="0.2">
      <c r="A6" s="1694" t="s">
        <v>129</v>
      </c>
      <c r="B6" s="1836" t="str">
        <f>SER.PREL.2!B6</f>
        <v>MARUZA BAPTISTA</v>
      </c>
      <c r="C6" s="1836"/>
      <c r="D6" s="1836"/>
      <c r="E6" s="1836"/>
      <c r="F6" s="1836"/>
      <c r="G6" s="1836"/>
      <c r="H6" s="1987"/>
      <c r="I6" s="1987"/>
      <c r="J6" s="1719"/>
      <c r="K6" s="1720"/>
      <c r="L6" s="1720"/>
      <c r="M6" s="1720"/>
      <c r="N6" s="1989"/>
    </row>
    <row r="7" spans="1:14" ht="15" x14ac:dyDescent="0.2">
      <c r="A7" s="1695"/>
      <c r="B7" s="1836"/>
      <c r="C7" s="1836"/>
      <c r="D7" s="1836"/>
      <c r="E7" s="1836"/>
      <c r="F7" s="1836"/>
      <c r="G7" s="1836"/>
      <c r="H7" s="1700" t="s">
        <v>130</v>
      </c>
      <c r="I7" s="1701"/>
      <c r="J7" s="1702" t="str">
        <f>SER.PREL.2!G7</f>
        <v>CAU - A : 28510-2</v>
      </c>
      <c r="K7" s="1703"/>
      <c r="L7" s="1703"/>
      <c r="M7" s="1703"/>
      <c r="N7" s="1990"/>
    </row>
    <row r="8" spans="1:14" ht="13.5" thickBot="1" x14ac:dyDescent="0.25"/>
    <row r="9" spans="1:14" ht="13.5" thickBot="1" x14ac:dyDescent="0.25">
      <c r="A9" s="1865" t="s">
        <v>771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6"/>
      <c r="L9" s="1866"/>
      <c r="M9" s="1866"/>
      <c r="N9" s="1867"/>
    </row>
    <row r="10" spans="1:14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7"/>
    </row>
    <row r="11" spans="1:14" ht="13.5" thickBot="1" x14ac:dyDescent="0.25">
      <c r="A11" s="1865" t="str">
        <f>ORÇ!D485</f>
        <v>Serviços Finais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6"/>
      <c r="L11" s="1866"/>
      <c r="M11" s="1866"/>
      <c r="N11" s="1867"/>
    </row>
    <row r="12" spans="1:14" x14ac:dyDescent="0.2">
      <c r="A12" s="418"/>
      <c r="B12" s="418"/>
      <c r="C12" s="418"/>
      <c r="D12" s="418"/>
      <c r="E12" s="418"/>
      <c r="F12" s="418"/>
      <c r="G12" s="418"/>
      <c r="H12" s="418"/>
      <c r="I12" s="418"/>
      <c r="J12" s="418"/>
      <c r="K12" s="418"/>
    </row>
    <row r="13" spans="1:14" x14ac:dyDescent="0.2">
      <c r="A13" s="181">
        <f>ORÇ!A485</f>
        <v>21</v>
      </c>
      <c r="B13" s="63" t="str">
        <f>ORÇ!D485</f>
        <v>Serviços Finais</v>
      </c>
      <c r="C13" s="62"/>
      <c r="D13" s="60"/>
      <c r="E13" s="60"/>
      <c r="F13" s="60"/>
      <c r="G13" s="60"/>
      <c r="H13" s="60"/>
      <c r="I13" s="60"/>
      <c r="J13" s="60"/>
    </row>
    <row r="14" spans="1:14" x14ac:dyDescent="0.2">
      <c r="A14" s="63" t="str">
        <f>ORÇ!A486</f>
        <v>21.1</v>
      </c>
      <c r="B14" s="63" t="str">
        <f>ORÇ!D486</f>
        <v>Limpeza geral e entrega da obra</v>
      </c>
      <c r="C14" s="62"/>
      <c r="D14" s="62"/>
      <c r="E14" s="62"/>
      <c r="F14" s="62"/>
      <c r="G14" s="62"/>
      <c r="H14" s="62"/>
      <c r="I14" s="60"/>
      <c r="J14" s="63"/>
      <c r="K14" s="178"/>
    </row>
    <row r="15" spans="1:14" x14ac:dyDescent="0.2">
      <c r="C15" s="378"/>
      <c r="D15" s="26"/>
      <c r="E15" s="248"/>
      <c r="F15" s="28"/>
      <c r="G15" s="29"/>
      <c r="H15" s="28"/>
      <c r="I15" s="62"/>
      <c r="J15" s="62"/>
      <c r="K15" s="177"/>
    </row>
    <row r="16" spans="1:14" x14ac:dyDescent="0.2">
      <c r="A16" s="63"/>
      <c r="B16" s="321" t="s">
        <v>417</v>
      </c>
      <c r="C16" s="168">
        <v>1480.35</v>
      </c>
      <c r="D16" s="173" t="s">
        <v>6</v>
      </c>
      <c r="E16" s="259"/>
      <c r="F16" s="62" t="s">
        <v>565</v>
      </c>
      <c r="G16" s="62"/>
    </row>
    <row r="17" spans="1:7" x14ac:dyDescent="0.2">
      <c r="A17" s="63"/>
      <c r="B17" s="63"/>
      <c r="C17" s="62"/>
      <c r="D17" s="62"/>
      <c r="E17" s="62"/>
      <c r="F17" s="62"/>
      <c r="G17" s="62"/>
    </row>
  </sheetData>
  <mergeCells count="16">
    <mergeCell ref="A9:N9"/>
    <mergeCell ref="A10:N10"/>
    <mergeCell ref="A11:N11"/>
    <mergeCell ref="A1:N1"/>
    <mergeCell ref="B2:I2"/>
    <mergeCell ref="J2:K2"/>
    <mergeCell ref="L2:N2"/>
    <mergeCell ref="B3:N3"/>
    <mergeCell ref="B4:N4"/>
    <mergeCell ref="B5:G5"/>
    <mergeCell ref="H5:I6"/>
    <mergeCell ref="J5:N6"/>
    <mergeCell ref="A6:A7"/>
    <mergeCell ref="B6:G7"/>
    <mergeCell ref="H7:I7"/>
    <mergeCell ref="J7:N7"/>
  </mergeCells>
  <pageMargins left="0.511811024" right="0.511811024" top="0.78740157499999996" bottom="0.78740157499999996" header="0.31496062000000002" footer="0.31496062000000002"/>
  <pageSetup paperSize="9" scale="61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view="pageBreakPreview" zoomScale="85" zoomScaleNormal="100" zoomScaleSheetLayoutView="85" workbookViewId="0">
      <selection activeCell="C15" sqref="C15"/>
    </sheetView>
  </sheetViews>
  <sheetFormatPr defaultRowHeight="12.75" x14ac:dyDescent="0.2"/>
  <cols>
    <col min="1" max="1" width="19.28515625" bestFit="1" customWidth="1"/>
    <col min="2" max="2" width="56.28515625" customWidth="1"/>
    <col min="3" max="3" width="9" bestFit="1" customWidth="1"/>
    <col min="4" max="4" width="9.7109375" bestFit="1" customWidth="1"/>
    <col min="5" max="5" width="11" customWidth="1"/>
    <col min="6" max="6" width="9.7109375" bestFit="1" customWidth="1"/>
    <col min="8" max="8" width="7.5703125" customWidth="1"/>
    <col min="9" max="9" width="7.85546875" customWidth="1"/>
  </cols>
  <sheetData>
    <row r="1" spans="1:10" ht="15" x14ac:dyDescent="0.2">
      <c r="A1" s="326" t="s">
        <v>126</v>
      </c>
      <c r="B1" s="1704" t="s">
        <v>226</v>
      </c>
      <c r="C1" s="1705"/>
      <c r="D1" s="1705"/>
      <c r="E1" s="1706"/>
      <c r="F1" s="1707" t="s">
        <v>136</v>
      </c>
      <c r="G1" s="1708"/>
      <c r="H1" s="327" t="s">
        <v>227</v>
      </c>
      <c r="I1" s="328"/>
      <c r="J1" s="329"/>
    </row>
    <row r="2" spans="1:10" ht="15" x14ac:dyDescent="0.2">
      <c r="A2" s="326" t="s">
        <v>127</v>
      </c>
      <c r="B2" s="1709" t="str">
        <f>ORÇ!B3</f>
        <v>CONSTRUÇÃO DO COMPLEXO ADMINISTRATIVO DO MUNICIPIO DE PLACAS</v>
      </c>
      <c r="C2" s="1710"/>
      <c r="D2" s="1710"/>
      <c r="E2" s="1710"/>
      <c r="F2" s="330"/>
      <c r="G2" s="327"/>
      <c r="H2" s="327"/>
      <c r="I2" s="328"/>
      <c r="J2" s="329"/>
    </row>
    <row r="3" spans="1:10" ht="15" x14ac:dyDescent="0.2">
      <c r="A3" s="326" t="s">
        <v>228</v>
      </c>
      <c r="B3" s="1704" t="str">
        <f>ORÇ!B4</f>
        <v>RUA OLAVO BILAC N° 408, BAIRRO CENTRO – PLACAS/PARÁ</v>
      </c>
      <c r="C3" s="1705"/>
      <c r="D3" s="1705"/>
      <c r="E3" s="1705"/>
      <c r="F3" s="1705"/>
      <c r="G3" s="1705"/>
      <c r="H3" s="1705"/>
      <c r="I3" s="1705"/>
      <c r="J3" s="329"/>
    </row>
    <row r="4" spans="1:10" ht="15" x14ac:dyDescent="0.2">
      <c r="A4" s="334" t="s">
        <v>128</v>
      </c>
      <c r="B4" s="1711">
        <f>BDI!I24</f>
        <v>0.28820000000000001</v>
      </c>
      <c r="C4" s="1712"/>
      <c r="D4" s="1713" t="s">
        <v>103</v>
      </c>
      <c r="E4" s="1714"/>
      <c r="F4" s="1717" t="str">
        <f>ORÇ!G5</f>
        <v>SINAPI ABRIL/2022 - DESONERADA</v>
      </c>
      <c r="G4" s="1718"/>
      <c r="H4" s="1718"/>
      <c r="I4" s="1718"/>
      <c r="J4" s="329"/>
    </row>
    <row r="5" spans="1:10" x14ac:dyDescent="0.2">
      <c r="A5" s="1694" t="s">
        <v>129</v>
      </c>
      <c r="B5" s="1696" t="str">
        <f>ORÇ!B6</f>
        <v>MARUZA BAPTISTA</v>
      </c>
      <c r="C5" s="1697"/>
      <c r="D5" s="1715"/>
      <c r="E5" s="1716"/>
      <c r="F5" s="1719"/>
      <c r="G5" s="1720"/>
      <c r="H5" s="1720"/>
      <c r="I5" s="1720"/>
      <c r="J5" s="331"/>
    </row>
    <row r="6" spans="1:10" ht="15" x14ac:dyDescent="0.2">
      <c r="A6" s="1695"/>
      <c r="B6" s="1698"/>
      <c r="C6" s="1699"/>
      <c r="D6" s="1700" t="s">
        <v>130</v>
      </c>
      <c r="E6" s="1701"/>
      <c r="F6" s="1702" t="str">
        <f>ORÇ!G7</f>
        <v>CAU - A : 28510-2</v>
      </c>
      <c r="G6" s="1703"/>
      <c r="H6" s="1703"/>
      <c r="I6" s="1703"/>
      <c r="J6" s="329"/>
    </row>
    <row r="8" spans="1:10" ht="13.5" thickBot="1" x14ac:dyDescent="0.25">
      <c r="A8" s="38"/>
      <c r="B8" s="38"/>
    </row>
    <row r="9" spans="1:10" x14ac:dyDescent="0.2">
      <c r="A9" s="1687" t="s">
        <v>137</v>
      </c>
      <c r="B9" s="1688"/>
      <c r="C9" s="1688"/>
      <c r="D9" s="1688"/>
      <c r="E9" s="1688"/>
      <c r="F9" s="1689"/>
    </row>
    <row r="10" spans="1:10" x14ac:dyDescent="0.2">
      <c r="A10" s="1690" t="s">
        <v>138</v>
      </c>
      <c r="B10" s="1691" t="s">
        <v>53</v>
      </c>
      <c r="C10" s="1692" t="s">
        <v>139</v>
      </c>
      <c r="D10" s="1692"/>
      <c r="E10" s="1692" t="s">
        <v>140</v>
      </c>
      <c r="F10" s="1693"/>
    </row>
    <row r="11" spans="1:10" ht="25.5" x14ac:dyDescent="0.2">
      <c r="A11" s="1690"/>
      <c r="B11" s="1691"/>
      <c r="C11" s="108" t="s">
        <v>141</v>
      </c>
      <c r="D11" s="108" t="s">
        <v>142</v>
      </c>
      <c r="E11" s="108" t="s">
        <v>141</v>
      </c>
      <c r="F11" s="203" t="s">
        <v>142</v>
      </c>
    </row>
    <row r="12" spans="1:10" x14ac:dyDescent="0.2">
      <c r="A12" s="1679" t="s">
        <v>143</v>
      </c>
      <c r="B12" s="1680"/>
      <c r="C12" s="1680"/>
      <c r="D12" s="1680"/>
      <c r="E12" s="1680"/>
      <c r="F12" s="1681"/>
    </row>
    <row r="13" spans="1:10" x14ac:dyDescent="0.2">
      <c r="A13" s="204" t="s">
        <v>144</v>
      </c>
      <c r="B13" s="182" t="s">
        <v>145</v>
      </c>
      <c r="C13" s="183">
        <v>0</v>
      </c>
      <c r="D13" s="183">
        <v>0</v>
      </c>
      <c r="E13" s="183">
        <v>0.2</v>
      </c>
      <c r="F13" s="205">
        <v>0.2</v>
      </c>
    </row>
    <row r="14" spans="1:10" x14ac:dyDescent="0.2">
      <c r="A14" s="204" t="s">
        <v>146</v>
      </c>
      <c r="B14" s="182" t="s">
        <v>147</v>
      </c>
      <c r="C14" s="183">
        <v>1.4999999999999999E-2</v>
      </c>
      <c r="D14" s="183">
        <v>1.4999999999999999E-2</v>
      </c>
      <c r="E14" s="183">
        <v>1.4999999999999999E-2</v>
      </c>
      <c r="F14" s="205">
        <v>1.4999999999999999E-2</v>
      </c>
    </row>
    <row r="15" spans="1:10" x14ac:dyDescent="0.2">
      <c r="A15" s="204" t="s">
        <v>148</v>
      </c>
      <c r="B15" s="182" t="s">
        <v>149</v>
      </c>
      <c r="C15" s="183">
        <v>0.01</v>
      </c>
      <c r="D15" s="183">
        <v>0.01</v>
      </c>
      <c r="E15" s="183">
        <v>0.01</v>
      </c>
      <c r="F15" s="205">
        <v>0.01</v>
      </c>
    </row>
    <row r="16" spans="1:10" x14ac:dyDescent="0.2">
      <c r="A16" s="204" t="s">
        <v>150</v>
      </c>
      <c r="B16" s="182" t="s">
        <v>151</v>
      </c>
      <c r="C16" s="183">
        <v>2E-3</v>
      </c>
      <c r="D16" s="183">
        <v>2E-3</v>
      </c>
      <c r="E16" s="183">
        <v>2E-3</v>
      </c>
      <c r="F16" s="205">
        <v>2E-3</v>
      </c>
    </row>
    <row r="17" spans="1:6" x14ac:dyDescent="0.2">
      <c r="A17" s="204" t="s">
        <v>152</v>
      </c>
      <c r="B17" s="182" t="s">
        <v>153</v>
      </c>
      <c r="C17" s="183">
        <v>6.0000000000000001E-3</v>
      </c>
      <c r="D17" s="183">
        <v>6.0000000000000001E-3</v>
      </c>
      <c r="E17" s="183">
        <v>6.0000000000000001E-3</v>
      </c>
      <c r="F17" s="205">
        <v>6.0000000000000001E-3</v>
      </c>
    </row>
    <row r="18" spans="1:6" x14ac:dyDescent="0.2">
      <c r="A18" s="204" t="s">
        <v>154</v>
      </c>
      <c r="B18" s="182" t="s">
        <v>155</v>
      </c>
      <c r="C18" s="183">
        <v>2.5000000000000001E-2</v>
      </c>
      <c r="D18" s="183">
        <v>2.5000000000000001E-2</v>
      </c>
      <c r="E18" s="183">
        <v>2.5000000000000001E-2</v>
      </c>
      <c r="F18" s="205">
        <v>2.5000000000000001E-2</v>
      </c>
    </row>
    <row r="19" spans="1:6" x14ac:dyDescent="0.2">
      <c r="A19" s="204" t="s">
        <v>156</v>
      </c>
      <c r="B19" s="206" t="s">
        <v>157</v>
      </c>
      <c r="C19" s="183">
        <v>0.03</v>
      </c>
      <c r="D19" s="183">
        <v>0.03</v>
      </c>
      <c r="E19" s="184">
        <v>0.03</v>
      </c>
      <c r="F19" s="207">
        <v>0.03</v>
      </c>
    </row>
    <row r="20" spans="1:6" x14ac:dyDescent="0.2">
      <c r="A20" s="204" t="s">
        <v>158</v>
      </c>
      <c r="B20" s="182" t="s">
        <v>159</v>
      </c>
      <c r="C20" s="183">
        <v>0.08</v>
      </c>
      <c r="D20" s="183">
        <v>0.08</v>
      </c>
      <c r="E20" s="183">
        <v>0.08</v>
      </c>
      <c r="F20" s="205">
        <v>0.08</v>
      </c>
    </row>
    <row r="21" spans="1:6" x14ac:dyDescent="0.2">
      <c r="A21" s="204" t="s">
        <v>160</v>
      </c>
      <c r="B21" s="182" t="s">
        <v>161</v>
      </c>
      <c r="C21" s="183">
        <v>0</v>
      </c>
      <c r="D21" s="183">
        <v>0</v>
      </c>
      <c r="E21" s="183">
        <v>0</v>
      </c>
      <c r="F21" s="205">
        <v>0</v>
      </c>
    </row>
    <row r="22" spans="1:6" x14ac:dyDescent="0.2">
      <c r="A22" s="208" t="s">
        <v>162</v>
      </c>
      <c r="B22" s="185" t="s">
        <v>86</v>
      </c>
      <c r="C22" s="186">
        <f>SUM(C13:C21)</f>
        <v>0.16799999999999998</v>
      </c>
      <c r="D22" s="186">
        <f>SUM(D13:D21)</f>
        <v>0.16799999999999998</v>
      </c>
      <c r="E22" s="186">
        <f>SUM(E13:E21)</f>
        <v>0.36800000000000005</v>
      </c>
      <c r="F22" s="209">
        <f>SUM(F13:F21)</f>
        <v>0.36800000000000005</v>
      </c>
    </row>
    <row r="23" spans="1:6" x14ac:dyDescent="0.2">
      <c r="A23" s="1679" t="s">
        <v>163</v>
      </c>
      <c r="B23" s="1680"/>
      <c r="C23" s="1680"/>
      <c r="D23" s="1680"/>
      <c r="E23" s="1680"/>
      <c r="F23" s="1681"/>
    </row>
    <row r="24" spans="1:6" x14ac:dyDescent="0.2">
      <c r="A24" s="204" t="s">
        <v>164</v>
      </c>
      <c r="B24" s="182" t="s">
        <v>165</v>
      </c>
      <c r="C24" s="183">
        <v>0.18110000000000001</v>
      </c>
      <c r="D24" s="187" t="s">
        <v>166</v>
      </c>
      <c r="E24" s="183">
        <v>0.18110000000000001</v>
      </c>
      <c r="F24" s="210" t="s">
        <v>166</v>
      </c>
    </row>
    <row r="25" spans="1:6" x14ac:dyDescent="0.2">
      <c r="A25" s="204" t="s">
        <v>167</v>
      </c>
      <c r="B25" s="206" t="s">
        <v>168</v>
      </c>
      <c r="C25" s="183">
        <v>4.1500000000000002E-2</v>
      </c>
      <c r="D25" s="187" t="s">
        <v>166</v>
      </c>
      <c r="E25" s="183">
        <v>4.1500000000000002E-2</v>
      </c>
      <c r="F25" s="210" t="s">
        <v>166</v>
      </c>
    </row>
    <row r="26" spans="1:6" x14ac:dyDescent="0.2">
      <c r="A26" s="204" t="s">
        <v>169</v>
      </c>
      <c r="B26" s="182" t="s">
        <v>170</v>
      </c>
      <c r="C26" s="183">
        <v>8.8999999999999999E-3</v>
      </c>
      <c r="D26" s="183">
        <v>6.7000000000000002E-3</v>
      </c>
      <c r="E26" s="183">
        <v>8.8999999999999999E-3</v>
      </c>
      <c r="F26" s="205">
        <v>6.7000000000000002E-3</v>
      </c>
    </row>
    <row r="27" spans="1:6" x14ac:dyDescent="0.2">
      <c r="A27" s="204" t="s">
        <v>171</v>
      </c>
      <c r="B27" s="182" t="s">
        <v>172</v>
      </c>
      <c r="C27" s="183">
        <v>0.10979999999999999</v>
      </c>
      <c r="D27" s="183">
        <v>8.3299999999999999E-2</v>
      </c>
      <c r="E27" s="183">
        <v>0.10979999999999999</v>
      </c>
      <c r="F27" s="205">
        <v>8.3299999999999999E-2</v>
      </c>
    </row>
    <row r="28" spans="1:6" x14ac:dyDescent="0.2">
      <c r="A28" s="204" t="s">
        <v>173</v>
      </c>
      <c r="B28" s="182" t="s">
        <v>174</v>
      </c>
      <c r="C28" s="183">
        <v>6.9999999999999999E-4</v>
      </c>
      <c r="D28" s="183">
        <v>5.9999999999999995E-4</v>
      </c>
      <c r="E28" s="183">
        <v>6.9999999999999999E-4</v>
      </c>
      <c r="F28" s="205">
        <v>5.9999999999999995E-4</v>
      </c>
    </row>
    <row r="29" spans="1:6" x14ac:dyDescent="0.2">
      <c r="A29" s="204" t="s">
        <v>175</v>
      </c>
      <c r="B29" s="182" t="s">
        <v>176</v>
      </c>
      <c r="C29" s="183">
        <v>7.3000000000000001E-3</v>
      </c>
      <c r="D29" s="183">
        <v>5.5999999999999999E-3</v>
      </c>
      <c r="E29" s="183">
        <v>7.3000000000000001E-3</v>
      </c>
      <c r="F29" s="205">
        <v>5.5999999999999999E-3</v>
      </c>
    </row>
    <row r="30" spans="1:6" x14ac:dyDescent="0.2">
      <c r="A30" s="204" t="s">
        <v>177</v>
      </c>
      <c r="B30" s="182" t="s">
        <v>178</v>
      </c>
      <c r="C30" s="183">
        <v>2.6800000000000001E-2</v>
      </c>
      <c r="D30" s="187" t="s">
        <v>166</v>
      </c>
      <c r="E30" s="183">
        <v>2.6800000000000001E-2</v>
      </c>
      <c r="F30" s="210" t="s">
        <v>166</v>
      </c>
    </row>
    <row r="31" spans="1:6" x14ac:dyDescent="0.2">
      <c r="A31" s="204" t="s">
        <v>179</v>
      </c>
      <c r="B31" s="182" t="s">
        <v>180</v>
      </c>
      <c r="C31" s="183">
        <v>1.1000000000000001E-3</v>
      </c>
      <c r="D31" s="183">
        <v>8.0000000000000004E-4</v>
      </c>
      <c r="E31" s="183">
        <v>1.1000000000000001E-3</v>
      </c>
      <c r="F31" s="205">
        <v>8.0000000000000004E-4</v>
      </c>
    </row>
    <row r="32" spans="1:6" x14ac:dyDescent="0.2">
      <c r="A32" s="204" t="s">
        <v>181</v>
      </c>
      <c r="B32" s="182" t="s">
        <v>182</v>
      </c>
      <c r="C32" s="183">
        <v>9.2700000000000005E-2</v>
      </c>
      <c r="D32" s="183">
        <v>7.0300000000000001E-2</v>
      </c>
      <c r="E32" s="183">
        <v>9.2700000000000005E-2</v>
      </c>
      <c r="F32" s="205">
        <v>7.0300000000000001E-2</v>
      </c>
    </row>
    <row r="33" spans="1:6" x14ac:dyDescent="0.2">
      <c r="A33" s="204" t="s">
        <v>183</v>
      </c>
      <c r="B33" s="182" t="s">
        <v>184</v>
      </c>
      <c r="C33" s="183">
        <v>2.9999999999999997E-4</v>
      </c>
      <c r="D33" s="183">
        <v>2.9999999999999997E-4</v>
      </c>
      <c r="E33" s="183">
        <v>2.9999999999999997E-4</v>
      </c>
      <c r="F33" s="205">
        <v>2.9999999999999997E-4</v>
      </c>
    </row>
    <row r="34" spans="1:6" x14ac:dyDescent="0.2">
      <c r="A34" s="211" t="s">
        <v>185</v>
      </c>
      <c r="B34" s="188" t="s">
        <v>86</v>
      </c>
      <c r="C34" s="189">
        <f>SUM(C24:C33)</f>
        <v>0.47019999999999995</v>
      </c>
      <c r="D34" s="189">
        <f>SUM(D24:D33)</f>
        <v>0.1676</v>
      </c>
      <c r="E34" s="189">
        <f>SUM(E24:E33)</f>
        <v>0.47019999999999995</v>
      </c>
      <c r="F34" s="212">
        <f>SUM(F24:F33)</f>
        <v>0.1676</v>
      </c>
    </row>
    <row r="35" spans="1:6" x14ac:dyDescent="0.2">
      <c r="A35" s="1682" t="s">
        <v>186</v>
      </c>
      <c r="B35" s="1683"/>
      <c r="C35" s="1683"/>
      <c r="D35" s="1683"/>
      <c r="E35" s="1683"/>
      <c r="F35" s="1684"/>
    </row>
    <row r="36" spans="1:6" x14ac:dyDescent="0.2">
      <c r="A36" s="213" t="s">
        <v>187</v>
      </c>
      <c r="B36" s="190" t="s">
        <v>188</v>
      </c>
      <c r="C36" s="191">
        <v>5.6899999999999999E-2</v>
      </c>
      <c r="D36" s="191">
        <v>4.3200000000000002E-2</v>
      </c>
      <c r="E36" s="191">
        <v>5.6899999999999999E-2</v>
      </c>
      <c r="F36" s="214">
        <v>4.3200000000000002E-2</v>
      </c>
    </row>
    <row r="37" spans="1:6" x14ac:dyDescent="0.2">
      <c r="A37" s="204" t="s">
        <v>189</v>
      </c>
      <c r="B37" s="182" t="s">
        <v>190</v>
      </c>
      <c r="C37" s="183">
        <v>1.2999999999999999E-3</v>
      </c>
      <c r="D37" s="183">
        <v>1E-3</v>
      </c>
      <c r="E37" s="183">
        <v>1.2999999999999999E-3</v>
      </c>
      <c r="F37" s="205">
        <v>1E-3</v>
      </c>
    </row>
    <row r="38" spans="1:6" x14ac:dyDescent="0.2">
      <c r="A38" s="204" t="s">
        <v>191</v>
      </c>
      <c r="B38" s="182" t="s">
        <v>192</v>
      </c>
      <c r="C38" s="183">
        <v>4.4699999999999997E-2</v>
      </c>
      <c r="D38" s="183">
        <v>3.39E-2</v>
      </c>
      <c r="E38" s="183">
        <v>4.4699999999999997E-2</v>
      </c>
      <c r="F38" s="205">
        <v>3.39E-2</v>
      </c>
    </row>
    <row r="39" spans="1:6" x14ac:dyDescent="0.2">
      <c r="A39" s="204" t="s">
        <v>193</v>
      </c>
      <c r="B39" s="182" t="s">
        <v>194</v>
      </c>
      <c r="C39" s="183">
        <v>3.9300000000000002E-2</v>
      </c>
      <c r="D39" s="183">
        <v>2.98E-2</v>
      </c>
      <c r="E39" s="183">
        <v>3.9300000000000002E-2</v>
      </c>
      <c r="F39" s="205">
        <v>2.98E-2</v>
      </c>
    </row>
    <row r="40" spans="1:6" x14ac:dyDescent="0.2">
      <c r="A40" s="204" t="s">
        <v>195</v>
      </c>
      <c r="B40" s="182" t="s">
        <v>196</v>
      </c>
      <c r="C40" s="183">
        <v>4.7999999999999996E-3</v>
      </c>
      <c r="D40" s="183">
        <v>3.5999999999999999E-3</v>
      </c>
      <c r="E40" s="183">
        <v>4.7999999999999996E-3</v>
      </c>
      <c r="F40" s="205">
        <v>3.5999999999999999E-3</v>
      </c>
    </row>
    <row r="41" spans="1:6" x14ac:dyDescent="0.2">
      <c r="A41" s="211" t="s">
        <v>197</v>
      </c>
      <c r="B41" s="188" t="s">
        <v>86</v>
      </c>
      <c r="C41" s="189">
        <f>SUM(C36:C40)</f>
        <v>0.14699999999999999</v>
      </c>
      <c r="D41" s="189">
        <f>SUM(D36:D40)</f>
        <v>0.1115</v>
      </c>
      <c r="E41" s="189">
        <f>SUM(E36:E40)</f>
        <v>0.14699999999999999</v>
      </c>
      <c r="F41" s="212">
        <f>SUM(F36:F40)</f>
        <v>0.1115</v>
      </c>
    </row>
    <row r="42" spans="1:6" x14ac:dyDescent="0.2">
      <c r="A42" s="1682" t="s">
        <v>198</v>
      </c>
      <c r="B42" s="1683"/>
      <c r="C42" s="1683"/>
      <c r="D42" s="1683"/>
      <c r="E42" s="1683"/>
      <c r="F42" s="1684"/>
    </row>
    <row r="43" spans="1:6" x14ac:dyDescent="0.2">
      <c r="A43" s="213" t="s">
        <v>199</v>
      </c>
      <c r="B43" s="190" t="s">
        <v>200</v>
      </c>
      <c r="C43" s="191">
        <v>7.9000000000000001E-2</v>
      </c>
      <c r="D43" s="191">
        <v>2.8199999999999999E-2</v>
      </c>
      <c r="E43" s="191">
        <v>0.17299999999999999</v>
      </c>
      <c r="F43" s="214">
        <v>6.1699999999999998E-2</v>
      </c>
    </row>
    <row r="44" spans="1:6" ht="25.5" x14ac:dyDescent="0.2">
      <c r="A44" s="204" t="s">
        <v>201</v>
      </c>
      <c r="B44" s="192" t="s">
        <v>202</v>
      </c>
      <c r="C44" s="193">
        <v>4.7999999999999996E-3</v>
      </c>
      <c r="D44" s="193">
        <v>3.5999999999999999E-3</v>
      </c>
      <c r="E44" s="193">
        <v>5.0000000000000001E-3</v>
      </c>
      <c r="F44" s="215">
        <v>3.8E-3</v>
      </c>
    </row>
    <row r="45" spans="1:6" x14ac:dyDescent="0.2">
      <c r="A45" s="208" t="s">
        <v>203</v>
      </c>
      <c r="B45" s="185" t="s">
        <v>86</v>
      </c>
      <c r="C45" s="194">
        <f>SUM(C43:C44)</f>
        <v>8.3799999999999999E-2</v>
      </c>
      <c r="D45" s="194">
        <f>SUM(D43:D44)</f>
        <v>3.1800000000000002E-2</v>
      </c>
      <c r="E45" s="194">
        <f>SUM(E43:E44)</f>
        <v>0.17799999999999999</v>
      </c>
      <c r="F45" s="216">
        <f>SUM(F43:F44)</f>
        <v>6.5500000000000003E-2</v>
      </c>
    </row>
    <row r="46" spans="1:6" ht="13.5" thickBot="1" x14ac:dyDescent="0.25">
      <c r="A46" s="1685" t="s">
        <v>204</v>
      </c>
      <c r="B46" s="1686"/>
      <c r="C46" s="217">
        <f>C22+C34+C41+C45</f>
        <v>0.86899999999999988</v>
      </c>
      <c r="D46" s="217">
        <f>D22+D34+D41+D45</f>
        <v>0.47889999999999999</v>
      </c>
      <c r="E46" s="217">
        <f>E22+E34+E41+E45</f>
        <v>1.1632</v>
      </c>
      <c r="F46" s="218">
        <f>F22+F34+F41+F45</f>
        <v>0.71260000000000012</v>
      </c>
    </row>
  </sheetData>
  <mergeCells count="21">
    <mergeCell ref="A5:A6"/>
    <mergeCell ref="B5:C6"/>
    <mergeCell ref="D6:E6"/>
    <mergeCell ref="F6:I6"/>
    <mergeCell ref="B1:E1"/>
    <mergeCell ref="F1:G1"/>
    <mergeCell ref="B2:E2"/>
    <mergeCell ref="B3:I3"/>
    <mergeCell ref="B4:C4"/>
    <mergeCell ref="D4:E5"/>
    <mergeCell ref="F4:I5"/>
    <mergeCell ref="A23:F23"/>
    <mergeCell ref="A35:F35"/>
    <mergeCell ref="A42:F42"/>
    <mergeCell ref="A46:B46"/>
    <mergeCell ref="A9:F9"/>
    <mergeCell ref="A10:A11"/>
    <mergeCell ref="B10:B11"/>
    <mergeCell ref="C10:D10"/>
    <mergeCell ref="E10:F10"/>
    <mergeCell ref="A12:F12"/>
  </mergeCells>
  <pageMargins left="0.511811024" right="0.511811024" top="0.78740157499999996" bottom="0.78740157499999996" header="0.31496062000000002" footer="0.31496062000000002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62"/>
  <sheetViews>
    <sheetView view="pageBreakPreview" zoomScale="70" zoomScaleNormal="100" zoomScaleSheetLayoutView="70" workbookViewId="0">
      <selection activeCell="A13" sqref="A13:M13"/>
    </sheetView>
  </sheetViews>
  <sheetFormatPr defaultRowHeight="12.75" x14ac:dyDescent="0.2"/>
  <cols>
    <col min="1" max="1" width="20.28515625" style="662" customWidth="1"/>
    <col min="2" max="2" width="11.5703125" style="662" customWidth="1"/>
    <col min="3" max="10" width="9.140625" style="329"/>
    <col min="11" max="11" width="13.28515625" style="329" bestFit="1" customWidth="1"/>
    <col min="12" max="12" width="13.42578125" style="329" bestFit="1" customWidth="1"/>
    <col min="13" max="13" width="16.85546875" style="329" customWidth="1"/>
    <col min="15" max="15" width="15.140625" customWidth="1"/>
  </cols>
  <sheetData>
    <row r="1" spans="1:13" ht="69.95" customHeight="1" x14ac:dyDescent="0.2">
      <c r="A1" s="1777" t="s">
        <v>670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  <c r="L1" s="1777"/>
      <c r="M1" s="1777"/>
    </row>
    <row r="2" spans="1:13" ht="15" customHeight="1" x14ac:dyDescent="0.2">
      <c r="A2" s="1803" t="s">
        <v>126</v>
      </c>
      <c r="B2" s="1804"/>
      <c r="C2" s="1786" t="str">
        <f>ORÇ!B2</f>
        <v>PREFEITURA MUNICIPAL DE PLACAS</v>
      </c>
      <c r="D2" s="1786"/>
      <c r="E2" s="1786"/>
      <c r="F2" s="1786"/>
      <c r="G2" s="1786"/>
      <c r="H2" s="1786"/>
      <c r="I2" s="1787" t="s">
        <v>277</v>
      </c>
      <c r="J2" s="1788"/>
      <c r="K2" s="1789" t="str">
        <f>ORÇ!I2</f>
        <v>PLACAS / PA</v>
      </c>
      <c r="L2" s="1783"/>
      <c r="M2" s="1783"/>
    </row>
    <row r="3" spans="1:13" ht="15" x14ac:dyDescent="0.2">
      <c r="A3" s="1803" t="s">
        <v>127</v>
      </c>
      <c r="B3" s="1804"/>
      <c r="C3" s="1783" t="str">
        <f>ORÇ!B3</f>
        <v>CONSTRUÇÃO DO COMPLEXO ADMINISTRATIVO DO MUNICIPIO DE PLACAS</v>
      </c>
      <c r="D3" s="1783"/>
      <c r="E3" s="1783"/>
      <c r="F3" s="1783"/>
      <c r="G3" s="1783"/>
      <c r="H3" s="1783"/>
      <c r="I3" s="1783"/>
      <c r="J3" s="1783"/>
      <c r="K3" s="1783"/>
      <c r="L3" s="1783"/>
      <c r="M3" s="1783"/>
    </row>
    <row r="4" spans="1:13" ht="15" customHeight="1" x14ac:dyDescent="0.2">
      <c r="A4" s="1803" t="s">
        <v>228</v>
      </c>
      <c r="B4" s="1804"/>
      <c r="C4" s="1783" t="str">
        <f>ORÇ!B4</f>
        <v>RUA OLAVO BILAC N° 408, BAIRRO CENTRO – PLACAS/PARÁ</v>
      </c>
      <c r="D4" s="1783"/>
      <c r="E4" s="1783"/>
      <c r="F4" s="1783"/>
      <c r="G4" s="1783"/>
      <c r="H4" s="1783"/>
      <c r="I4" s="1783"/>
      <c r="J4" s="1783"/>
      <c r="K4" s="1783"/>
      <c r="L4" s="1783"/>
      <c r="M4" s="1783"/>
    </row>
    <row r="5" spans="1:13" ht="15" x14ac:dyDescent="0.2">
      <c r="A5" s="1803" t="s">
        <v>128</v>
      </c>
      <c r="B5" s="1804"/>
      <c r="C5" s="1784">
        <f>ORÇ!B5</f>
        <v>0.28820000000000001</v>
      </c>
      <c r="D5" s="1785"/>
      <c r="E5" s="1785"/>
      <c r="F5" s="1785"/>
      <c r="G5" s="1785"/>
      <c r="H5" s="1785"/>
      <c r="I5" s="1794" t="s">
        <v>275</v>
      </c>
      <c r="J5" s="1788"/>
      <c r="K5" s="1778" t="str">
        <f>ORÇ!G5</f>
        <v>SINAPI ABRIL/2022 - DESONERADA</v>
      </c>
      <c r="L5" s="1779"/>
      <c r="M5" s="1780"/>
    </row>
    <row r="6" spans="1:13" ht="16.5" customHeight="1" x14ac:dyDescent="0.2">
      <c r="A6" s="1794" t="s">
        <v>274</v>
      </c>
      <c r="B6" s="1788"/>
      <c r="C6" s="1797" t="str">
        <f>ORÇ!B6</f>
        <v>MARUZA BAPTISTA</v>
      </c>
      <c r="D6" s="1798"/>
      <c r="E6" s="1798"/>
      <c r="F6" s="1798"/>
      <c r="G6" s="1798"/>
      <c r="H6" s="1799"/>
      <c r="I6" s="1795"/>
      <c r="J6" s="1796"/>
      <c r="K6" s="1778" t="str">
        <f>ORÇ!G6</f>
        <v>SEDOP MAIO/2022 - DESONERADA</v>
      </c>
      <c r="L6" s="1779"/>
      <c r="M6" s="1780"/>
    </row>
    <row r="7" spans="1:13" ht="15" x14ac:dyDescent="0.2">
      <c r="A7" s="1795"/>
      <c r="B7" s="1796"/>
      <c r="C7" s="1800"/>
      <c r="D7" s="1801"/>
      <c r="E7" s="1801"/>
      <c r="F7" s="1801"/>
      <c r="G7" s="1801"/>
      <c r="H7" s="1802"/>
      <c r="I7" s="1781" t="s">
        <v>276</v>
      </c>
      <c r="J7" s="1782"/>
      <c r="K7" s="1783" t="str">
        <f>ORÇ!G7</f>
        <v>CAU - A : 28510-2</v>
      </c>
      <c r="L7" s="1783"/>
      <c r="M7" s="1783"/>
    </row>
    <row r="8" spans="1:13" ht="7.5" customHeight="1" thickBot="1" x14ac:dyDescent="0.25"/>
    <row r="9" spans="1:13" ht="16.5" thickBot="1" x14ac:dyDescent="0.25">
      <c r="A9" s="1790" t="s">
        <v>210</v>
      </c>
      <c r="B9" s="1791"/>
      <c r="C9" s="1792"/>
      <c r="D9" s="1792"/>
      <c r="E9" s="1792"/>
      <c r="F9" s="1792"/>
      <c r="G9" s="1792"/>
      <c r="H9" s="1792"/>
      <c r="I9" s="1792"/>
      <c r="J9" s="1792"/>
      <c r="K9" s="1792"/>
      <c r="L9" s="1792"/>
      <c r="M9" s="1793"/>
    </row>
    <row r="10" spans="1:13" x14ac:dyDescent="0.2">
      <c r="A10" s="288"/>
      <c r="B10" s="621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89"/>
    </row>
    <row r="11" spans="1:13" x14ac:dyDescent="0.2">
      <c r="A11" s="290" t="s">
        <v>32</v>
      </c>
      <c r="B11" s="622"/>
      <c r="C11" s="1730" t="s">
        <v>131</v>
      </c>
      <c r="D11" s="1725"/>
      <c r="E11" s="1725"/>
      <c r="F11" s="1725"/>
      <c r="G11" s="1725"/>
      <c r="H11" s="1725"/>
      <c r="I11" s="1725"/>
      <c r="J11" s="1725"/>
      <c r="K11" s="1725"/>
      <c r="L11" s="1725"/>
      <c r="M11" s="1726"/>
    </row>
    <row r="12" spans="1:13" ht="12.75" customHeight="1" x14ac:dyDescent="0.2">
      <c r="A12" s="291" t="str">
        <f>ORÇ!A14</f>
        <v>1.1</v>
      </c>
      <c r="B12" s="623"/>
      <c r="C12" s="1727" t="s">
        <v>454</v>
      </c>
      <c r="D12" s="1728"/>
      <c r="E12" s="1728"/>
      <c r="F12" s="1728"/>
      <c r="G12" s="1728"/>
      <c r="H12" s="1728"/>
      <c r="I12" s="1728"/>
      <c r="J12" s="1728"/>
      <c r="K12" s="1729"/>
      <c r="L12" s="1147" t="s">
        <v>1173</v>
      </c>
      <c r="M12" s="613" t="s">
        <v>96</v>
      </c>
    </row>
    <row r="13" spans="1:13" x14ac:dyDescent="0.2">
      <c r="A13" s="1724" t="s">
        <v>100</v>
      </c>
      <c r="B13" s="1725"/>
      <c r="C13" s="1725"/>
      <c r="D13" s="1725"/>
      <c r="E13" s="1725"/>
      <c r="F13" s="1725"/>
      <c r="G13" s="1725"/>
      <c r="H13" s="1725"/>
      <c r="I13" s="1725"/>
      <c r="J13" s="1725"/>
      <c r="K13" s="1725"/>
      <c r="L13" s="1725"/>
      <c r="M13" s="1726"/>
    </row>
    <row r="14" spans="1:13" x14ac:dyDescent="0.2">
      <c r="A14" s="294" t="s">
        <v>281</v>
      </c>
      <c r="B14" s="294" t="s">
        <v>92</v>
      </c>
      <c r="C14" s="1144"/>
      <c r="D14" s="1145"/>
      <c r="E14" s="1145"/>
      <c r="F14" s="1145" t="s">
        <v>93</v>
      </c>
      <c r="G14" s="1145"/>
      <c r="H14" s="1145"/>
      <c r="I14" s="1146"/>
      <c r="J14" s="667" t="s">
        <v>94</v>
      </c>
      <c r="K14" s="667" t="s">
        <v>35</v>
      </c>
      <c r="L14" s="1147" t="s">
        <v>95</v>
      </c>
      <c r="M14" s="1170" t="s">
        <v>86</v>
      </c>
    </row>
    <row r="15" spans="1:13" x14ac:dyDescent="0.2">
      <c r="A15" s="615" t="s">
        <v>282</v>
      </c>
      <c r="B15" s="1132">
        <v>90777</v>
      </c>
      <c r="C15" s="1764" t="s">
        <v>449</v>
      </c>
      <c r="D15" s="1765"/>
      <c r="E15" s="1765"/>
      <c r="F15" s="1765"/>
      <c r="G15" s="1765"/>
      <c r="H15" s="1765"/>
      <c r="I15" s="1766"/>
      <c r="J15" s="58" t="s">
        <v>217</v>
      </c>
      <c r="K15" s="65">
        <f>'ADM. LOC. 1'!I19</f>
        <v>180</v>
      </c>
      <c r="L15" s="1183">
        <v>82.16</v>
      </c>
      <c r="M15" s="693">
        <f>ROUND(K15*L15,2)</f>
        <v>14788.8</v>
      </c>
    </row>
    <row r="16" spans="1:13" x14ac:dyDescent="0.2">
      <c r="A16" s="653" t="s">
        <v>282</v>
      </c>
      <c r="B16" s="654">
        <v>90776</v>
      </c>
      <c r="C16" s="1809" t="s">
        <v>453</v>
      </c>
      <c r="D16" s="1810"/>
      <c r="E16" s="1810"/>
      <c r="F16" s="1810"/>
      <c r="G16" s="1810"/>
      <c r="H16" s="1810"/>
      <c r="I16" s="1811"/>
      <c r="J16" s="655" t="s">
        <v>217</v>
      </c>
      <c r="K16" s="656">
        <f>'ADM. LOC. 1'!I23</f>
        <v>2112</v>
      </c>
      <c r="L16" s="1184">
        <v>18.510000000000002</v>
      </c>
      <c r="M16" s="693">
        <f>ROUND(K16*L16,2)</f>
        <v>39093.120000000003</v>
      </c>
    </row>
    <row r="17" spans="1:17" s="379" customFormat="1" x14ac:dyDescent="0.2">
      <c r="A17" s="296"/>
      <c r="B17" s="1130"/>
      <c r="C17" s="1730" t="s">
        <v>97</v>
      </c>
      <c r="D17" s="1725"/>
      <c r="E17" s="1725"/>
      <c r="F17" s="1725"/>
      <c r="G17" s="1725"/>
      <c r="H17" s="1725"/>
      <c r="I17" s="1725"/>
      <c r="J17" s="1731"/>
      <c r="K17" s="669"/>
      <c r="L17" s="161"/>
      <c r="M17" s="1148">
        <f>SUM(M15:M16)</f>
        <v>53881.919999999998</v>
      </c>
    </row>
    <row r="18" spans="1:17" s="379" customFormat="1" x14ac:dyDescent="0.2">
      <c r="A18" s="657"/>
      <c r="B18" s="1149"/>
      <c r="C18" s="1149"/>
      <c r="D18" s="1149"/>
      <c r="E18" s="1149"/>
      <c r="F18" s="1149"/>
      <c r="G18" s="1149"/>
      <c r="H18" s="1149"/>
      <c r="I18" s="1149"/>
      <c r="J18" s="1149"/>
      <c r="K18" s="658"/>
      <c r="L18" s="1150"/>
      <c r="M18" s="1151"/>
    </row>
    <row r="19" spans="1:17" x14ac:dyDescent="0.2">
      <c r="A19" s="664" t="s">
        <v>375</v>
      </c>
      <c r="B19" s="669"/>
      <c r="C19" s="1730" t="s">
        <v>131</v>
      </c>
      <c r="D19" s="1725"/>
      <c r="E19" s="1725"/>
      <c r="F19" s="1725"/>
      <c r="G19" s="1725"/>
      <c r="H19" s="1725"/>
      <c r="I19" s="1725"/>
      <c r="J19" s="1725"/>
      <c r="K19" s="1725"/>
      <c r="L19" s="1725"/>
      <c r="M19" s="1726"/>
    </row>
    <row r="20" spans="1:17" ht="12.75" customHeight="1" x14ac:dyDescent="0.2">
      <c r="A20" s="291" t="str">
        <f>ORÇ!A55</f>
        <v>5.5</v>
      </c>
      <c r="B20" s="623"/>
      <c r="C20" s="1727" t="s">
        <v>465</v>
      </c>
      <c r="D20" s="1728"/>
      <c r="E20" s="1728"/>
      <c r="F20" s="1728"/>
      <c r="G20" s="1728"/>
      <c r="H20" s="1728"/>
      <c r="I20" s="1728"/>
      <c r="J20" s="1728"/>
      <c r="K20" s="1729"/>
      <c r="L20" s="1147" t="s">
        <v>1173</v>
      </c>
      <c r="M20" s="613" t="s">
        <v>17</v>
      </c>
    </row>
    <row r="21" spans="1:17" x14ac:dyDescent="0.2">
      <c r="A21" s="1724" t="s">
        <v>232</v>
      </c>
      <c r="B21" s="1725"/>
      <c r="C21" s="1725"/>
      <c r="D21" s="1725"/>
      <c r="E21" s="1725"/>
      <c r="F21" s="1725"/>
      <c r="G21" s="1725"/>
      <c r="H21" s="1725"/>
      <c r="I21" s="1725"/>
      <c r="J21" s="1725"/>
      <c r="K21" s="1725"/>
      <c r="L21" s="1725"/>
      <c r="M21" s="1726"/>
    </row>
    <row r="22" spans="1:17" x14ac:dyDescent="0.2">
      <c r="A22" s="666" t="s">
        <v>281</v>
      </c>
      <c r="B22" s="667" t="s">
        <v>92</v>
      </c>
      <c r="C22" s="1145"/>
      <c r="D22" s="1145"/>
      <c r="E22" s="1145"/>
      <c r="F22" s="1145" t="s">
        <v>93</v>
      </c>
      <c r="G22" s="1145"/>
      <c r="H22" s="1145"/>
      <c r="I22" s="1146"/>
      <c r="J22" s="667" t="s">
        <v>94</v>
      </c>
      <c r="K22" s="667" t="s">
        <v>35</v>
      </c>
      <c r="L22" s="1147" t="s">
        <v>95</v>
      </c>
      <c r="M22" s="1170" t="s">
        <v>86</v>
      </c>
    </row>
    <row r="23" spans="1:17" ht="40.5" customHeight="1" x14ac:dyDescent="0.2">
      <c r="A23" s="1134" t="s">
        <v>282</v>
      </c>
      <c r="B23" s="629">
        <v>94963</v>
      </c>
      <c r="C23" s="1749" t="s">
        <v>461</v>
      </c>
      <c r="D23" s="1749"/>
      <c r="E23" s="1749"/>
      <c r="F23" s="1749"/>
      <c r="G23" s="1749"/>
      <c r="H23" s="1749"/>
      <c r="I23" s="1750"/>
      <c r="J23" s="602" t="s">
        <v>373</v>
      </c>
      <c r="K23" s="668">
        <v>1.0500000000000001E-2</v>
      </c>
      <c r="L23" s="1282">
        <v>467.02</v>
      </c>
      <c r="M23" s="693">
        <f t="shared" ref="M23:M28" si="0">ROUND(K23*L23,2)</f>
        <v>4.9000000000000004</v>
      </c>
    </row>
    <row r="24" spans="1:17" ht="40.5" customHeight="1" x14ac:dyDescent="0.2">
      <c r="A24" s="1134" t="s">
        <v>445</v>
      </c>
      <c r="B24" s="629">
        <v>7155</v>
      </c>
      <c r="C24" s="1749" t="s">
        <v>462</v>
      </c>
      <c r="D24" s="1749"/>
      <c r="E24" s="1749"/>
      <c r="F24" s="1749"/>
      <c r="G24" s="1749"/>
      <c r="H24" s="1749"/>
      <c r="I24" s="1750"/>
      <c r="J24" s="626" t="s">
        <v>252</v>
      </c>
      <c r="K24" s="603">
        <v>0.35</v>
      </c>
      <c r="L24" s="1282">
        <v>25.36</v>
      </c>
      <c r="M24" s="693">
        <f t="shared" si="0"/>
        <v>8.8800000000000008</v>
      </c>
    </row>
    <row r="25" spans="1:17" ht="33.75" customHeight="1" x14ac:dyDescent="0.2">
      <c r="A25" s="1134" t="s">
        <v>445</v>
      </c>
      <c r="B25" s="629">
        <v>1346</v>
      </c>
      <c r="C25" s="1750" t="s">
        <v>463</v>
      </c>
      <c r="D25" s="1760"/>
      <c r="E25" s="1760"/>
      <c r="F25" s="1760"/>
      <c r="G25" s="1760"/>
      <c r="H25" s="1760"/>
      <c r="I25" s="1760"/>
      <c r="J25" s="604" t="s">
        <v>252</v>
      </c>
      <c r="K25" s="603">
        <v>0.4</v>
      </c>
      <c r="L25" s="1282">
        <v>52.48</v>
      </c>
      <c r="M25" s="693">
        <f t="shared" si="0"/>
        <v>20.99</v>
      </c>
    </row>
    <row r="26" spans="1:17" x14ac:dyDescent="0.2">
      <c r="A26" s="1134" t="s">
        <v>445</v>
      </c>
      <c r="B26" s="629">
        <v>43132</v>
      </c>
      <c r="C26" s="1750" t="s">
        <v>464</v>
      </c>
      <c r="D26" s="1760"/>
      <c r="E26" s="1760"/>
      <c r="F26" s="1760"/>
      <c r="G26" s="1760"/>
      <c r="H26" s="1760"/>
      <c r="I26" s="1760"/>
      <c r="J26" s="604" t="s">
        <v>216</v>
      </c>
      <c r="K26" s="603">
        <v>0.08</v>
      </c>
      <c r="L26" s="1282">
        <v>23.43</v>
      </c>
      <c r="M26" s="693">
        <f t="shared" si="0"/>
        <v>1.87</v>
      </c>
    </row>
    <row r="27" spans="1:17" x14ac:dyDescent="0.2">
      <c r="A27" s="1134" t="s">
        <v>282</v>
      </c>
      <c r="B27" s="629">
        <v>88309</v>
      </c>
      <c r="C27" s="1750" t="s">
        <v>374</v>
      </c>
      <c r="D27" s="1760"/>
      <c r="E27" s="1760"/>
      <c r="F27" s="1760"/>
      <c r="G27" s="1760"/>
      <c r="H27" s="1760"/>
      <c r="I27" s="1760"/>
      <c r="J27" s="604" t="s">
        <v>217</v>
      </c>
      <c r="K27" s="603">
        <v>0.4</v>
      </c>
      <c r="L27" s="1282">
        <v>21.31</v>
      </c>
      <c r="M27" s="693">
        <f t="shared" si="0"/>
        <v>8.52</v>
      </c>
    </row>
    <row r="28" spans="1:17" x14ac:dyDescent="0.2">
      <c r="A28" s="1134" t="s">
        <v>282</v>
      </c>
      <c r="B28" s="629">
        <v>88316</v>
      </c>
      <c r="C28" s="1750" t="s">
        <v>99</v>
      </c>
      <c r="D28" s="1760"/>
      <c r="E28" s="1760"/>
      <c r="F28" s="1760"/>
      <c r="G28" s="1760"/>
      <c r="H28" s="1760"/>
      <c r="I28" s="1760"/>
      <c r="J28" s="604" t="s">
        <v>217</v>
      </c>
      <c r="K28" s="603">
        <v>0.45</v>
      </c>
      <c r="L28" s="1282">
        <v>17.09</v>
      </c>
      <c r="M28" s="693">
        <f t="shared" si="0"/>
        <v>7.69</v>
      </c>
    </row>
    <row r="29" spans="1:17" x14ac:dyDescent="0.2">
      <c r="A29" s="600"/>
      <c r="B29" s="665"/>
      <c r="C29" s="1730" t="s">
        <v>1171</v>
      </c>
      <c r="D29" s="1725"/>
      <c r="E29" s="1725"/>
      <c r="F29" s="1725"/>
      <c r="G29" s="1725"/>
      <c r="H29" s="1725"/>
      <c r="I29" s="1725"/>
      <c r="J29" s="1731"/>
      <c r="K29" s="669"/>
      <c r="L29" s="161"/>
      <c r="M29" s="1148">
        <f>SUM(M23:M28)</f>
        <v>52.849999999999994</v>
      </c>
    </row>
    <row r="30" spans="1:17" x14ac:dyDescent="0.2">
      <c r="O30" s="38" t="s">
        <v>77</v>
      </c>
      <c r="P30" s="38" t="s">
        <v>959</v>
      </c>
    </row>
    <row r="31" spans="1:17" x14ac:dyDescent="0.2">
      <c r="A31" s="664" t="s">
        <v>375</v>
      </c>
      <c r="B31" s="669"/>
      <c r="C31" s="1730" t="s">
        <v>131</v>
      </c>
      <c r="D31" s="1725"/>
      <c r="E31" s="1725"/>
      <c r="F31" s="1725"/>
      <c r="G31" s="1725"/>
      <c r="H31" s="1725"/>
      <c r="I31" s="1725"/>
      <c r="J31" s="1725"/>
      <c r="K31" s="1725"/>
      <c r="L31" s="1725"/>
      <c r="M31" s="1726"/>
      <c r="N31" s="38" t="s">
        <v>648</v>
      </c>
      <c r="O31">
        <v>41.22</v>
      </c>
      <c r="P31">
        <f>O31/6</f>
        <v>6.87</v>
      </c>
      <c r="Q31">
        <f>P31*2</f>
        <v>13.74</v>
      </c>
    </row>
    <row r="32" spans="1:17" ht="36" customHeight="1" x14ac:dyDescent="0.2">
      <c r="A32" s="291" t="str">
        <f>ORÇ!A57</f>
        <v>5.7</v>
      </c>
      <c r="B32" s="623"/>
      <c r="C32" s="1727" t="s">
        <v>1504</v>
      </c>
      <c r="D32" s="1728"/>
      <c r="E32" s="1728"/>
      <c r="F32" s="1728"/>
      <c r="G32" s="1728"/>
      <c r="H32" s="1728"/>
      <c r="I32" s="1728"/>
      <c r="J32" s="1728"/>
      <c r="K32" s="1729"/>
      <c r="L32" s="1147" t="s">
        <v>1173</v>
      </c>
      <c r="M32" s="613" t="s">
        <v>96</v>
      </c>
      <c r="N32" t="s">
        <v>649</v>
      </c>
      <c r="O32">
        <v>31.06</v>
      </c>
      <c r="P32">
        <f>O32/6</f>
        <v>5.1766666666666667</v>
      </c>
    </row>
    <row r="33" spans="1:16" s="1171" customFormat="1" x14ac:dyDescent="0.2">
      <c r="A33" s="1724" t="s">
        <v>870</v>
      </c>
      <c r="B33" s="1725"/>
      <c r="C33" s="1725"/>
      <c r="D33" s="1725"/>
      <c r="E33" s="1725"/>
      <c r="F33" s="1725"/>
      <c r="G33" s="1725"/>
      <c r="H33" s="1725"/>
      <c r="I33" s="1725"/>
      <c r="J33" s="1725"/>
      <c r="K33" s="1725"/>
      <c r="L33" s="1725"/>
      <c r="M33" s="1726"/>
    </row>
    <row r="34" spans="1:16" x14ac:dyDescent="0.2">
      <c r="A34" s="666" t="s">
        <v>281</v>
      </c>
      <c r="B34" s="667" t="s">
        <v>92</v>
      </c>
      <c r="C34" s="1145"/>
      <c r="D34" s="1145"/>
      <c r="E34" s="1145"/>
      <c r="F34" s="1145" t="s">
        <v>93</v>
      </c>
      <c r="G34" s="1145"/>
      <c r="H34" s="1145"/>
      <c r="I34" s="1146"/>
      <c r="J34" s="667" t="s">
        <v>94</v>
      </c>
      <c r="K34" s="667" t="s">
        <v>35</v>
      </c>
      <c r="L34" s="1147" t="s">
        <v>95</v>
      </c>
      <c r="M34" s="1170" t="s">
        <v>86</v>
      </c>
      <c r="O34" s="488" t="s">
        <v>650</v>
      </c>
      <c r="P34">
        <v>0.67</v>
      </c>
    </row>
    <row r="35" spans="1:16" x14ac:dyDescent="0.2">
      <c r="A35" s="1735" t="s">
        <v>620</v>
      </c>
      <c r="B35" s="1736"/>
      <c r="C35" s="1748" t="s">
        <v>645</v>
      </c>
      <c r="D35" s="1749"/>
      <c r="E35" s="1749"/>
      <c r="F35" s="1749"/>
      <c r="G35" s="1749"/>
      <c r="H35" s="1749"/>
      <c r="I35" s="1750"/>
      <c r="J35" s="602" t="s">
        <v>216</v>
      </c>
      <c r="K35" s="603">
        <f>ROUND(P35*Q31,2)</f>
        <v>551.79999999999995</v>
      </c>
      <c r="L35" s="1282">
        <v>11.4</v>
      </c>
      <c r="M35" s="693">
        <f t="shared" ref="M35:M43" si="1">ROUND(K35*L35,2)</f>
        <v>6290.52</v>
      </c>
      <c r="O35" s="488" t="s">
        <v>646</v>
      </c>
      <c r="P35">
        <f>16.95+3.45+1.45+15+1.31+2</f>
        <v>40.159999999999997</v>
      </c>
    </row>
    <row r="36" spans="1:16" ht="25.5" x14ac:dyDescent="0.2">
      <c r="A36" s="1735" t="s">
        <v>620</v>
      </c>
      <c r="B36" s="1736"/>
      <c r="C36" s="1748" t="s">
        <v>622</v>
      </c>
      <c r="D36" s="1749"/>
      <c r="E36" s="1749"/>
      <c r="F36" s="1749"/>
      <c r="G36" s="1749"/>
      <c r="H36" s="1749"/>
      <c r="I36" s="1750"/>
      <c r="J36" s="602" t="s">
        <v>216</v>
      </c>
      <c r="K36" s="603">
        <f>ROUND(P36*P32,2)</f>
        <v>97.84</v>
      </c>
      <c r="L36" s="1282">
        <v>11.41</v>
      </c>
      <c r="M36" s="693">
        <f t="shared" si="1"/>
        <v>1116.3499999999999</v>
      </c>
      <c r="O36" s="488" t="s">
        <v>647</v>
      </c>
      <c r="P36">
        <f>(2.8*5)+4.9</f>
        <v>18.899999999999999</v>
      </c>
    </row>
    <row r="37" spans="1:16" ht="26.25" customHeight="1" x14ac:dyDescent="0.2">
      <c r="A37" s="1134" t="s">
        <v>445</v>
      </c>
      <c r="B37" s="629">
        <v>41955</v>
      </c>
      <c r="C37" s="1748" t="s">
        <v>626</v>
      </c>
      <c r="D37" s="1749"/>
      <c r="E37" s="1749"/>
      <c r="F37" s="1749"/>
      <c r="G37" s="1749"/>
      <c r="H37" s="1749"/>
      <c r="I37" s="1750"/>
      <c r="J37" s="626" t="s">
        <v>216</v>
      </c>
      <c r="K37" s="603">
        <f>(P35+P36)*P34</f>
        <v>39.5702</v>
      </c>
      <c r="L37" s="1282">
        <v>78.42</v>
      </c>
      <c r="M37" s="693">
        <f t="shared" si="1"/>
        <v>3103.1</v>
      </c>
    </row>
    <row r="38" spans="1:16" ht="34.5" customHeight="1" x14ac:dyDescent="0.2">
      <c r="A38" s="1134" t="s">
        <v>282</v>
      </c>
      <c r="B38" s="629">
        <v>98746</v>
      </c>
      <c r="C38" s="1748" t="s">
        <v>625</v>
      </c>
      <c r="D38" s="1749"/>
      <c r="E38" s="1749"/>
      <c r="F38" s="1749"/>
      <c r="G38" s="1749"/>
      <c r="H38" s="1749"/>
      <c r="I38" s="1750"/>
      <c r="J38" s="626" t="s">
        <v>214</v>
      </c>
      <c r="K38" s="603">
        <f>ROUND((P35+P36)/1.4,2)</f>
        <v>42.19</v>
      </c>
      <c r="L38" s="1282">
        <v>54.73</v>
      </c>
      <c r="M38" s="693">
        <f t="shared" si="1"/>
        <v>2309.06</v>
      </c>
    </row>
    <row r="39" spans="1:16" x14ac:dyDescent="0.2">
      <c r="A39" s="1134" t="s">
        <v>445</v>
      </c>
      <c r="B39" s="629">
        <v>20259</v>
      </c>
      <c r="C39" s="1748" t="s">
        <v>624</v>
      </c>
      <c r="D39" s="1749"/>
      <c r="E39" s="1749"/>
      <c r="F39" s="1749"/>
      <c r="G39" s="1749"/>
      <c r="H39" s="1749"/>
      <c r="I39" s="1750"/>
      <c r="J39" s="626" t="s">
        <v>619</v>
      </c>
      <c r="K39" s="603">
        <f>K38</f>
        <v>42.19</v>
      </c>
      <c r="L39" s="1282">
        <v>11</v>
      </c>
      <c r="M39" s="693">
        <f t="shared" si="1"/>
        <v>464.09</v>
      </c>
    </row>
    <row r="40" spans="1:16" ht="86.25" customHeight="1" x14ac:dyDescent="0.2">
      <c r="A40" s="1735" t="s">
        <v>1266</v>
      </c>
      <c r="B40" s="1736"/>
      <c r="C40" s="1748" t="s">
        <v>1503</v>
      </c>
      <c r="D40" s="1749"/>
      <c r="E40" s="1749"/>
      <c r="F40" s="1749"/>
      <c r="G40" s="1749"/>
      <c r="H40" s="1749"/>
      <c r="I40" s="1750"/>
      <c r="J40" s="626" t="s">
        <v>433</v>
      </c>
      <c r="K40" s="603">
        <v>50.32</v>
      </c>
      <c r="L40" s="1282">
        <v>339.33</v>
      </c>
      <c r="M40" s="693">
        <f t="shared" si="1"/>
        <v>17075.09</v>
      </c>
      <c r="O40" s="827"/>
    </row>
    <row r="41" spans="1:16" ht="42" customHeight="1" x14ac:dyDescent="0.2">
      <c r="A41" s="1378" t="s">
        <v>445</v>
      </c>
      <c r="B41" s="629">
        <v>11029</v>
      </c>
      <c r="C41" s="1748" t="s">
        <v>1502</v>
      </c>
      <c r="D41" s="1749"/>
      <c r="E41" s="1749"/>
      <c r="F41" s="1749"/>
      <c r="G41" s="1749"/>
      <c r="H41" s="1749"/>
      <c r="I41" s="1750"/>
      <c r="J41" s="1278" t="s">
        <v>362</v>
      </c>
      <c r="K41" s="603">
        <f>ROUND(3.15*K40,2)</f>
        <v>158.51</v>
      </c>
      <c r="L41" s="1282">
        <v>2.1800000000000002</v>
      </c>
      <c r="M41" s="693">
        <f t="shared" si="1"/>
        <v>345.55</v>
      </c>
      <c r="O41" s="827"/>
    </row>
    <row r="42" spans="1:16" ht="42" customHeight="1" x14ac:dyDescent="0.2">
      <c r="A42" s="1378" t="s">
        <v>282</v>
      </c>
      <c r="B42" s="629">
        <v>88323</v>
      </c>
      <c r="C42" s="1748" t="s">
        <v>1505</v>
      </c>
      <c r="D42" s="1749"/>
      <c r="E42" s="1749"/>
      <c r="F42" s="1749"/>
      <c r="G42" s="1749"/>
      <c r="H42" s="1749"/>
      <c r="I42" s="1750"/>
      <c r="J42" s="1278" t="s">
        <v>217</v>
      </c>
      <c r="K42" s="603">
        <v>1.7</v>
      </c>
      <c r="L42" s="1282">
        <v>20.88</v>
      </c>
      <c r="M42" s="693">
        <f t="shared" si="1"/>
        <v>35.5</v>
      </c>
      <c r="O42" s="827"/>
    </row>
    <row r="43" spans="1:16" x14ac:dyDescent="0.2">
      <c r="A43" s="1134" t="s">
        <v>282</v>
      </c>
      <c r="B43" s="629">
        <v>88238</v>
      </c>
      <c r="C43" s="1748" t="s">
        <v>623</v>
      </c>
      <c r="D43" s="1749"/>
      <c r="E43" s="1749"/>
      <c r="F43" s="1749"/>
      <c r="G43" s="1749"/>
      <c r="H43" s="1749"/>
      <c r="I43" s="1750"/>
      <c r="J43" s="626" t="s">
        <v>217</v>
      </c>
      <c r="K43" s="603">
        <v>1.62</v>
      </c>
      <c r="L43" s="1282">
        <v>17.100000000000001</v>
      </c>
      <c r="M43" s="693">
        <f t="shared" si="1"/>
        <v>27.7</v>
      </c>
    </row>
    <row r="44" spans="1:16" x14ac:dyDescent="0.2">
      <c r="A44" s="600"/>
      <c r="B44" s="665"/>
      <c r="C44" s="1730" t="s">
        <v>1171</v>
      </c>
      <c r="D44" s="1725"/>
      <c r="E44" s="1725"/>
      <c r="F44" s="1725"/>
      <c r="G44" s="1725"/>
      <c r="H44" s="1725"/>
      <c r="I44" s="1725"/>
      <c r="J44" s="1731"/>
      <c r="K44" s="669"/>
      <c r="L44" s="161"/>
      <c r="M44" s="1154">
        <f>SUM(M35:M43)</f>
        <v>30766.959999999999</v>
      </c>
    </row>
    <row r="46" spans="1:16" x14ac:dyDescent="0.2">
      <c r="A46" s="664" t="s">
        <v>375</v>
      </c>
      <c r="B46" s="669"/>
      <c r="C46" s="1730" t="s">
        <v>131</v>
      </c>
      <c r="D46" s="1725"/>
      <c r="E46" s="1725"/>
      <c r="F46" s="1725"/>
      <c r="G46" s="1725"/>
      <c r="H46" s="1725"/>
      <c r="I46" s="1725"/>
      <c r="J46" s="1725"/>
      <c r="K46" s="1725"/>
      <c r="L46" s="1725"/>
      <c r="M46" s="1726"/>
      <c r="N46" s="38"/>
    </row>
    <row r="47" spans="1:16" ht="30" customHeight="1" x14ac:dyDescent="0.2">
      <c r="A47" s="291" t="str">
        <f>ORÇ!A58</f>
        <v>5.8</v>
      </c>
      <c r="B47" s="623"/>
      <c r="C47" s="1727" t="s">
        <v>654</v>
      </c>
      <c r="D47" s="1728"/>
      <c r="E47" s="1728"/>
      <c r="F47" s="1728"/>
      <c r="G47" s="1728"/>
      <c r="H47" s="1728"/>
      <c r="I47" s="1728"/>
      <c r="J47" s="1728"/>
      <c r="K47" s="1729"/>
      <c r="L47" s="1147" t="s">
        <v>1173</v>
      </c>
      <c r="M47" s="613" t="s">
        <v>96</v>
      </c>
    </row>
    <row r="48" spans="1:16" x14ac:dyDescent="0.2">
      <c r="A48" s="1724" t="s">
        <v>871</v>
      </c>
      <c r="B48" s="1725"/>
      <c r="C48" s="1725"/>
      <c r="D48" s="1725"/>
      <c r="E48" s="1725"/>
      <c r="F48" s="1725"/>
      <c r="G48" s="1725"/>
      <c r="H48" s="1725"/>
      <c r="I48" s="1725"/>
      <c r="J48" s="1725"/>
      <c r="K48" s="1725"/>
      <c r="L48" s="1725"/>
      <c r="M48" s="1726"/>
    </row>
    <row r="49" spans="1:15" x14ac:dyDescent="0.2">
      <c r="A49" s="666" t="s">
        <v>281</v>
      </c>
      <c r="B49" s="667" t="s">
        <v>92</v>
      </c>
      <c r="C49" s="1145"/>
      <c r="D49" s="1145"/>
      <c r="E49" s="1145"/>
      <c r="F49" s="1145" t="s">
        <v>93</v>
      </c>
      <c r="G49" s="1145"/>
      <c r="H49" s="1145"/>
      <c r="I49" s="1146"/>
      <c r="J49" s="667" t="s">
        <v>94</v>
      </c>
      <c r="K49" s="667" t="s">
        <v>35</v>
      </c>
      <c r="L49" s="1147" t="s">
        <v>95</v>
      </c>
      <c r="M49" s="1170" t="s">
        <v>86</v>
      </c>
      <c r="O49" s="488"/>
    </row>
    <row r="50" spans="1:15" ht="27.75" customHeight="1" x14ac:dyDescent="0.2">
      <c r="A50" s="1134" t="s">
        <v>445</v>
      </c>
      <c r="B50" s="629">
        <v>11027</v>
      </c>
      <c r="C50" s="1748" t="s">
        <v>653</v>
      </c>
      <c r="D50" s="1749"/>
      <c r="E50" s="1749"/>
      <c r="F50" s="1749"/>
      <c r="G50" s="1749"/>
      <c r="H50" s="1749"/>
      <c r="I50" s="1750"/>
      <c r="J50" s="626" t="s">
        <v>216</v>
      </c>
      <c r="K50" s="603">
        <f>(0.4*0.4)*12.4</f>
        <v>1.9840000000000004</v>
      </c>
      <c r="L50" s="1282">
        <v>13.49</v>
      </c>
      <c r="M50" s="693">
        <f t="shared" ref="M50:M56" si="2">ROUND(K50*L50,2)</f>
        <v>26.76</v>
      </c>
    </row>
    <row r="51" spans="1:15" ht="27.75" customHeight="1" x14ac:dyDescent="0.2">
      <c r="A51" s="1134" t="s">
        <v>282</v>
      </c>
      <c r="B51" s="629">
        <v>98746</v>
      </c>
      <c r="C51" s="1748" t="s">
        <v>625</v>
      </c>
      <c r="D51" s="1749"/>
      <c r="E51" s="1749"/>
      <c r="F51" s="1749"/>
      <c r="G51" s="1749"/>
      <c r="H51" s="1749"/>
      <c r="I51" s="1750"/>
      <c r="J51" s="626" t="s">
        <v>214</v>
      </c>
      <c r="K51" s="603">
        <f>0.5*4</f>
        <v>2</v>
      </c>
      <c r="L51" s="1282">
        <v>54.73</v>
      </c>
      <c r="M51" s="693">
        <f t="shared" si="2"/>
        <v>109.46</v>
      </c>
    </row>
    <row r="52" spans="1:15" ht="37.5" customHeight="1" x14ac:dyDescent="0.2">
      <c r="A52" s="1134" t="s">
        <v>282</v>
      </c>
      <c r="B52" s="629">
        <v>98546</v>
      </c>
      <c r="C52" s="1748" t="s">
        <v>575</v>
      </c>
      <c r="D52" s="1749"/>
      <c r="E52" s="1749"/>
      <c r="F52" s="1749"/>
      <c r="G52" s="1749"/>
      <c r="H52" s="1749"/>
      <c r="I52" s="1750"/>
      <c r="J52" s="626" t="s">
        <v>252</v>
      </c>
      <c r="K52" s="603">
        <f>(0.5*0.5)</f>
        <v>0.25</v>
      </c>
      <c r="L52" s="1282">
        <v>105.08</v>
      </c>
      <c r="M52" s="693">
        <f t="shared" si="2"/>
        <v>26.27</v>
      </c>
    </row>
    <row r="53" spans="1:15" ht="54.75" customHeight="1" x14ac:dyDescent="0.2">
      <c r="A53" s="295" t="s">
        <v>282</v>
      </c>
      <c r="B53" s="692">
        <v>100758</v>
      </c>
      <c r="C53" s="1772" t="s">
        <v>523</v>
      </c>
      <c r="D53" s="1772"/>
      <c r="E53" s="1772"/>
      <c r="F53" s="1772"/>
      <c r="G53" s="1772"/>
      <c r="H53" s="1772"/>
      <c r="I53" s="1772"/>
      <c r="J53" s="1278" t="s">
        <v>252</v>
      </c>
      <c r="K53" s="402">
        <f>K52</f>
        <v>0.25</v>
      </c>
      <c r="L53" s="1183">
        <v>38.119999999999997</v>
      </c>
      <c r="M53" s="693">
        <f t="shared" si="2"/>
        <v>9.5299999999999994</v>
      </c>
    </row>
    <row r="54" spans="1:15" ht="27.75" customHeight="1" x14ac:dyDescent="0.2">
      <c r="A54" s="615" t="s">
        <v>282</v>
      </c>
      <c r="B54" s="58">
        <v>100717</v>
      </c>
      <c r="C54" s="1764" t="s">
        <v>615</v>
      </c>
      <c r="D54" s="1765"/>
      <c r="E54" s="1765"/>
      <c r="F54" s="1765"/>
      <c r="G54" s="1765"/>
      <c r="H54" s="1765"/>
      <c r="I54" s="1766"/>
      <c r="J54" s="725" t="s">
        <v>215</v>
      </c>
      <c r="K54" s="726">
        <f>K53</f>
        <v>0.25</v>
      </c>
      <c r="L54" s="1184">
        <v>7.34</v>
      </c>
      <c r="M54" s="693">
        <f t="shared" si="2"/>
        <v>1.84</v>
      </c>
    </row>
    <row r="55" spans="1:15" ht="27.75" customHeight="1" x14ac:dyDescent="0.2">
      <c r="A55" s="1134" t="s">
        <v>282</v>
      </c>
      <c r="B55" s="629">
        <v>88240</v>
      </c>
      <c r="C55" s="1748" t="s">
        <v>652</v>
      </c>
      <c r="D55" s="1749"/>
      <c r="E55" s="1749"/>
      <c r="F55" s="1749"/>
      <c r="G55" s="1749"/>
      <c r="H55" s="1749"/>
      <c r="I55" s="1750"/>
      <c r="J55" s="626" t="s">
        <v>217</v>
      </c>
      <c r="K55" s="603">
        <v>1.62</v>
      </c>
      <c r="L55" s="1282">
        <v>14.57</v>
      </c>
      <c r="M55" s="693">
        <f t="shared" si="2"/>
        <v>23.6</v>
      </c>
    </row>
    <row r="56" spans="1:15" ht="27.75" customHeight="1" x14ac:dyDescent="0.2">
      <c r="A56" s="1134" t="s">
        <v>282</v>
      </c>
      <c r="B56" s="629">
        <v>88317</v>
      </c>
      <c r="C56" s="1748" t="s">
        <v>651</v>
      </c>
      <c r="D56" s="1749"/>
      <c r="E56" s="1749"/>
      <c r="F56" s="1749"/>
      <c r="G56" s="1749"/>
      <c r="H56" s="1749"/>
      <c r="I56" s="1750"/>
      <c r="J56" s="604" t="s">
        <v>217</v>
      </c>
      <c r="K56" s="603">
        <v>1.66</v>
      </c>
      <c r="L56" s="1282">
        <v>22.01</v>
      </c>
      <c r="M56" s="693">
        <f t="shared" si="2"/>
        <v>36.54</v>
      </c>
    </row>
    <row r="57" spans="1:15" x14ac:dyDescent="0.2">
      <c r="A57" s="600"/>
      <c r="B57" s="665"/>
      <c r="C57" s="1730" t="s">
        <v>1171</v>
      </c>
      <c r="D57" s="1725"/>
      <c r="E57" s="1725"/>
      <c r="F57" s="1725"/>
      <c r="G57" s="1725"/>
      <c r="H57" s="1725"/>
      <c r="I57" s="1725"/>
      <c r="J57" s="1731"/>
      <c r="K57" s="669"/>
      <c r="L57" s="161"/>
      <c r="M57" s="1148">
        <f>SUM(M50:M56)</f>
        <v>234</v>
      </c>
    </row>
    <row r="59" spans="1:15" x14ac:dyDescent="0.2">
      <c r="A59" s="290" t="s">
        <v>32</v>
      </c>
      <c r="B59" s="1737" t="s">
        <v>131</v>
      </c>
      <c r="C59" s="1737"/>
      <c r="D59" s="1737"/>
      <c r="E59" s="1737"/>
      <c r="F59" s="1737"/>
      <c r="G59" s="1737"/>
      <c r="H59" s="1737"/>
      <c r="I59" s="1737"/>
      <c r="J59" s="1737"/>
      <c r="K59" s="1737"/>
      <c r="L59" s="1737"/>
      <c r="M59" s="1737"/>
    </row>
    <row r="60" spans="1:15" ht="51.75" customHeight="1" x14ac:dyDescent="0.2">
      <c r="A60" s="291" t="str">
        <f>ORÇ!A113</f>
        <v>9.2.6</v>
      </c>
      <c r="C60" s="1727" t="s">
        <v>1256</v>
      </c>
      <c r="D60" s="1728"/>
      <c r="E60" s="1728"/>
      <c r="F60" s="1728"/>
      <c r="G60" s="1728"/>
      <c r="H60" s="1728"/>
      <c r="I60" s="1728"/>
      <c r="J60" s="1728"/>
      <c r="K60" s="1729"/>
      <c r="L60" s="1147" t="s">
        <v>1173</v>
      </c>
      <c r="M60" s="613" t="s">
        <v>96</v>
      </c>
    </row>
    <row r="61" spans="1:15" x14ac:dyDescent="0.2">
      <c r="A61" s="1737" t="s">
        <v>1707</v>
      </c>
      <c r="B61" s="1737"/>
      <c r="C61" s="1737"/>
      <c r="D61" s="1737"/>
      <c r="E61" s="1737"/>
      <c r="F61" s="1737"/>
      <c r="G61" s="1737"/>
      <c r="H61" s="1737"/>
      <c r="I61" s="1737"/>
      <c r="J61" s="1737"/>
      <c r="K61" s="1737"/>
      <c r="L61" s="1737"/>
      <c r="M61" s="1737"/>
    </row>
    <row r="62" spans="1:15" x14ac:dyDescent="0.2">
      <c r="A62" s="722" t="s">
        <v>281</v>
      </c>
      <c r="B62" s="1152" t="s">
        <v>92</v>
      </c>
      <c r="C62" s="1761" t="s">
        <v>93</v>
      </c>
      <c r="D62" s="1762"/>
      <c r="E62" s="1762"/>
      <c r="F62" s="1762"/>
      <c r="G62" s="1762"/>
      <c r="H62" s="1762"/>
      <c r="I62" s="1763"/>
      <c r="J62" s="1152" t="s">
        <v>94</v>
      </c>
      <c r="K62" s="1152" t="s">
        <v>35</v>
      </c>
      <c r="L62" s="1153" t="s">
        <v>95</v>
      </c>
      <c r="M62" s="1153" t="s">
        <v>86</v>
      </c>
    </row>
    <row r="63" spans="1:15" ht="37.5" customHeight="1" x14ac:dyDescent="0.2">
      <c r="A63" s="719" t="s">
        <v>282</v>
      </c>
      <c r="B63" s="58">
        <v>90806</v>
      </c>
      <c r="C63" s="1764" t="s">
        <v>532</v>
      </c>
      <c r="D63" s="1765"/>
      <c r="E63" s="1765"/>
      <c r="F63" s="1765"/>
      <c r="G63" s="1765"/>
      <c r="H63" s="1765"/>
      <c r="I63" s="1766"/>
      <c r="J63" s="58" t="s">
        <v>96</v>
      </c>
      <c r="K63" s="599">
        <v>2</v>
      </c>
      <c r="L63" s="1183">
        <v>287.8</v>
      </c>
      <c r="M63" s="693">
        <f>ROUND(L63*K63,2)</f>
        <v>575.6</v>
      </c>
    </row>
    <row r="64" spans="1:15" ht="59.25" customHeight="1" x14ac:dyDescent="0.2">
      <c r="A64" s="719" t="s">
        <v>282</v>
      </c>
      <c r="B64" s="58">
        <v>90789</v>
      </c>
      <c r="C64" s="1764" t="s">
        <v>1255</v>
      </c>
      <c r="D64" s="1765"/>
      <c r="E64" s="1765"/>
      <c r="F64" s="1765"/>
      <c r="G64" s="1765"/>
      <c r="H64" s="1765"/>
      <c r="I64" s="1766"/>
      <c r="J64" s="58" t="s">
        <v>96</v>
      </c>
      <c r="K64" s="599">
        <v>2</v>
      </c>
      <c r="L64" s="1183">
        <v>643.64</v>
      </c>
      <c r="M64" s="693">
        <f>ROUND(L64*K64,2)</f>
        <v>1287.28</v>
      </c>
    </row>
    <row r="65" spans="1:17" ht="37.5" customHeight="1" x14ac:dyDescent="0.2">
      <c r="A65" s="719" t="s">
        <v>282</v>
      </c>
      <c r="B65" s="58">
        <v>91306</v>
      </c>
      <c r="C65" s="1764" t="s">
        <v>533</v>
      </c>
      <c r="D65" s="1765"/>
      <c r="E65" s="1765"/>
      <c r="F65" s="1765"/>
      <c r="G65" s="1765"/>
      <c r="H65" s="1765"/>
      <c r="I65" s="1766"/>
      <c r="J65" s="58" t="s">
        <v>96</v>
      </c>
      <c r="K65" s="599">
        <v>1</v>
      </c>
      <c r="L65" s="1183">
        <v>136.01</v>
      </c>
      <c r="M65" s="693">
        <f>ROUND(L65*K65,2)</f>
        <v>136.01</v>
      </c>
    </row>
    <row r="66" spans="1:17" x14ac:dyDescent="0.2">
      <c r="A66" s="1730" t="s">
        <v>1171</v>
      </c>
      <c r="B66" s="1725"/>
      <c r="C66" s="1725"/>
      <c r="D66" s="1725"/>
      <c r="E66" s="1725"/>
      <c r="F66" s="1725"/>
      <c r="G66" s="1725"/>
      <c r="H66" s="1725"/>
      <c r="I66" s="1725"/>
      <c r="J66" s="1725"/>
      <c r="K66" s="1725"/>
      <c r="L66" s="1731"/>
      <c r="M66" s="1154">
        <f>SUM(M63:M65)</f>
        <v>1998.89</v>
      </c>
    </row>
    <row r="67" spans="1:17" s="379" customFormat="1" x14ac:dyDescent="0.2">
      <c r="A67" s="1149"/>
      <c r="B67" s="1149"/>
      <c r="C67" s="1149"/>
      <c r="D67" s="1149"/>
      <c r="E67" s="1149"/>
      <c r="F67" s="1149"/>
      <c r="G67" s="1149"/>
      <c r="H67" s="1149"/>
      <c r="I67" s="1149"/>
      <c r="J67" s="1149"/>
      <c r="K67" s="1149"/>
      <c r="L67" s="1149"/>
      <c r="M67" s="1150"/>
    </row>
    <row r="68" spans="1:17" x14ac:dyDescent="0.2">
      <c r="A68" s="290" t="s">
        <v>32</v>
      </c>
      <c r="B68" s="1737" t="s">
        <v>131</v>
      </c>
      <c r="C68" s="1737"/>
      <c r="D68" s="1737"/>
      <c r="E68" s="1737"/>
      <c r="F68" s="1737"/>
      <c r="G68" s="1737"/>
      <c r="H68" s="1737"/>
      <c r="I68" s="1737"/>
      <c r="J68" s="1737"/>
      <c r="K68" s="1737"/>
      <c r="L68" s="1737"/>
      <c r="M68" s="1737"/>
    </row>
    <row r="69" spans="1:17" ht="44.25" customHeight="1" x14ac:dyDescent="0.2">
      <c r="A69" s="291" t="str">
        <f>ORÇ!A116</f>
        <v>9.2.9</v>
      </c>
      <c r="C69" s="1727" t="s">
        <v>528</v>
      </c>
      <c r="D69" s="1728"/>
      <c r="E69" s="1728"/>
      <c r="F69" s="1728"/>
      <c r="G69" s="1728"/>
      <c r="H69" s="1728"/>
      <c r="I69" s="1728"/>
      <c r="J69" s="1728"/>
      <c r="K69" s="1729"/>
      <c r="L69" s="1147" t="s">
        <v>1173</v>
      </c>
      <c r="M69" s="613" t="s">
        <v>96</v>
      </c>
    </row>
    <row r="70" spans="1:17" x14ac:dyDescent="0.2">
      <c r="A70" s="1737" t="s">
        <v>365</v>
      </c>
      <c r="B70" s="1737"/>
      <c r="C70" s="1737"/>
      <c r="D70" s="1737"/>
      <c r="E70" s="1737"/>
      <c r="F70" s="1737"/>
      <c r="G70" s="1737"/>
      <c r="H70" s="1737"/>
      <c r="I70" s="1737"/>
      <c r="J70" s="1737"/>
      <c r="K70" s="1737"/>
      <c r="L70" s="1737"/>
      <c r="M70" s="1737"/>
    </row>
    <row r="71" spans="1:17" x14ac:dyDescent="0.2">
      <c r="A71" s="722" t="s">
        <v>281</v>
      </c>
      <c r="B71" s="1152" t="s">
        <v>92</v>
      </c>
      <c r="C71" s="1761" t="s">
        <v>93</v>
      </c>
      <c r="D71" s="1762"/>
      <c r="E71" s="1762"/>
      <c r="F71" s="1762"/>
      <c r="G71" s="1762"/>
      <c r="H71" s="1762"/>
      <c r="I71" s="1763"/>
      <c r="J71" s="1152" t="s">
        <v>94</v>
      </c>
      <c r="K71" s="1152" t="s">
        <v>35</v>
      </c>
      <c r="L71" s="1153" t="s">
        <v>95</v>
      </c>
      <c r="M71" s="1153" t="s">
        <v>86</v>
      </c>
    </row>
    <row r="72" spans="1:17" ht="45" customHeight="1" x14ac:dyDescent="0.2">
      <c r="A72" s="719" t="s">
        <v>282</v>
      </c>
      <c r="B72" s="58">
        <v>102185</v>
      </c>
      <c r="C72" s="1764" t="s">
        <v>526</v>
      </c>
      <c r="D72" s="1765"/>
      <c r="E72" s="1765"/>
      <c r="F72" s="1765"/>
      <c r="G72" s="1765"/>
      <c r="H72" s="1765"/>
      <c r="I72" s="1766"/>
      <c r="J72" s="58" t="s">
        <v>236</v>
      </c>
      <c r="K72" s="599">
        <v>2</v>
      </c>
      <c r="L72" s="1183">
        <v>4329.7700000000004</v>
      </c>
      <c r="M72" s="693">
        <f>ROUND(L72*K72,2)</f>
        <v>8659.5400000000009</v>
      </c>
    </row>
    <row r="73" spans="1:17" x14ac:dyDescent="0.2">
      <c r="A73" s="719" t="s">
        <v>445</v>
      </c>
      <c r="B73" s="58">
        <v>39624</v>
      </c>
      <c r="C73" s="1764" t="s">
        <v>527</v>
      </c>
      <c r="D73" s="1765"/>
      <c r="E73" s="1765"/>
      <c r="F73" s="1765"/>
      <c r="G73" s="1765"/>
      <c r="H73" s="1765"/>
      <c r="I73" s="1766"/>
      <c r="J73" s="58" t="s">
        <v>1282</v>
      </c>
      <c r="K73" s="599">
        <v>1</v>
      </c>
      <c r="L73" s="1183">
        <v>1217.79</v>
      </c>
      <c r="M73" s="693">
        <f>ROUND(L73*K73,2)</f>
        <v>1217.79</v>
      </c>
    </row>
    <row r="74" spans="1:17" x14ac:dyDescent="0.2">
      <c r="A74" s="719" t="s">
        <v>282</v>
      </c>
      <c r="B74" s="58">
        <v>88309</v>
      </c>
      <c r="C74" s="1772" t="s">
        <v>374</v>
      </c>
      <c r="D74" s="1772"/>
      <c r="E74" s="1772"/>
      <c r="F74" s="1772"/>
      <c r="G74" s="1772"/>
      <c r="H74" s="1772"/>
      <c r="I74" s="1772"/>
      <c r="J74" s="58" t="s">
        <v>217</v>
      </c>
      <c r="K74" s="71">
        <v>1.9</v>
      </c>
      <c r="L74" s="1183">
        <v>21.31</v>
      </c>
      <c r="M74" s="693">
        <f>ROUND(L74*K74,2)</f>
        <v>40.49</v>
      </c>
    </row>
    <row r="75" spans="1:17" x14ac:dyDescent="0.2">
      <c r="A75" s="719" t="s">
        <v>282</v>
      </c>
      <c r="B75" s="58">
        <v>88316</v>
      </c>
      <c r="C75" s="1772" t="s">
        <v>99</v>
      </c>
      <c r="D75" s="1772"/>
      <c r="E75" s="1772"/>
      <c r="F75" s="1772"/>
      <c r="G75" s="1772"/>
      <c r="H75" s="1772"/>
      <c r="I75" s="1772"/>
      <c r="J75" s="58" t="s">
        <v>217</v>
      </c>
      <c r="K75" s="71">
        <v>1.2</v>
      </c>
      <c r="L75" s="1183">
        <v>17.09</v>
      </c>
      <c r="M75" s="693">
        <f>ROUND(L75*K75,2)</f>
        <v>20.51</v>
      </c>
      <c r="Q75" s="721"/>
    </row>
    <row r="76" spans="1:17" x14ac:dyDescent="0.2">
      <c r="A76" s="1730" t="s">
        <v>1171</v>
      </c>
      <c r="B76" s="1725"/>
      <c r="C76" s="1725"/>
      <c r="D76" s="1725"/>
      <c r="E76" s="1725"/>
      <c r="F76" s="1725"/>
      <c r="G76" s="1725"/>
      <c r="H76" s="1725"/>
      <c r="I76" s="1725"/>
      <c r="J76" s="1725"/>
      <c r="K76" s="1725"/>
      <c r="L76" s="1731"/>
      <c r="M76" s="1154">
        <f>SUM(M72:M75)</f>
        <v>9938.3300000000017</v>
      </c>
    </row>
    <row r="77" spans="1:17" s="379" customFormat="1" x14ac:dyDescent="0.2">
      <c r="A77" s="1149"/>
      <c r="B77" s="1149"/>
      <c r="C77" s="1149"/>
      <c r="D77" s="1149"/>
      <c r="E77" s="1149"/>
      <c r="F77" s="1149"/>
      <c r="G77" s="1149"/>
      <c r="H77" s="1149"/>
      <c r="I77" s="1149"/>
      <c r="J77" s="1149"/>
      <c r="K77" s="1149"/>
      <c r="L77" s="1149"/>
      <c r="M77" s="1150"/>
    </row>
    <row r="78" spans="1:17" x14ac:dyDescent="0.2">
      <c r="A78" s="290" t="s">
        <v>32</v>
      </c>
      <c r="B78" s="1730" t="s">
        <v>131</v>
      </c>
      <c r="C78" s="1725"/>
      <c r="D78" s="1725"/>
      <c r="E78" s="1725"/>
      <c r="F78" s="1725"/>
      <c r="G78" s="1725"/>
      <c r="H78" s="1725"/>
      <c r="I78" s="1725"/>
      <c r="J78" s="1725"/>
      <c r="K78" s="1725"/>
      <c r="L78" s="1725"/>
      <c r="M78" s="1731"/>
    </row>
    <row r="79" spans="1:17" ht="39.75" customHeight="1" x14ac:dyDescent="0.2">
      <c r="A79" s="291" t="str">
        <f>ORÇ!A115</f>
        <v>9.2.8</v>
      </c>
      <c r="C79" s="1727" t="s">
        <v>531</v>
      </c>
      <c r="D79" s="1728"/>
      <c r="E79" s="1728"/>
      <c r="F79" s="1728"/>
      <c r="G79" s="1728"/>
      <c r="H79" s="1728"/>
      <c r="I79" s="1728"/>
      <c r="J79" s="1728"/>
      <c r="K79" s="1729"/>
      <c r="L79" s="1147" t="s">
        <v>1173</v>
      </c>
      <c r="M79" s="613" t="s">
        <v>96</v>
      </c>
    </row>
    <row r="80" spans="1:17" x14ac:dyDescent="0.2">
      <c r="A80" s="1730" t="s">
        <v>1702</v>
      </c>
      <c r="B80" s="1725"/>
      <c r="C80" s="1725"/>
      <c r="D80" s="1725"/>
      <c r="E80" s="1725"/>
      <c r="F80" s="1725"/>
      <c r="G80" s="1725"/>
      <c r="H80" s="1725"/>
      <c r="I80" s="1725"/>
      <c r="J80" s="1725"/>
      <c r="K80" s="1725"/>
      <c r="L80" s="1725"/>
      <c r="M80" s="1731"/>
    </row>
    <row r="81" spans="1:17" x14ac:dyDescent="0.2">
      <c r="A81" s="722" t="s">
        <v>281</v>
      </c>
      <c r="B81" s="1152" t="s">
        <v>92</v>
      </c>
      <c r="C81" s="1738" t="s">
        <v>93</v>
      </c>
      <c r="D81" s="1739"/>
      <c r="E81" s="1739"/>
      <c r="F81" s="1739"/>
      <c r="G81" s="1739"/>
      <c r="H81" s="1739"/>
      <c r="I81" s="1740"/>
      <c r="J81" s="1152" t="s">
        <v>94</v>
      </c>
      <c r="K81" s="1152" t="s">
        <v>35</v>
      </c>
      <c r="L81" s="1153" t="s">
        <v>95</v>
      </c>
      <c r="M81" s="1153" t="s">
        <v>86</v>
      </c>
    </row>
    <row r="82" spans="1:17" ht="63" customHeight="1" x14ac:dyDescent="0.2">
      <c r="A82" s="719" t="s">
        <v>445</v>
      </c>
      <c r="B82" s="58">
        <v>3104</v>
      </c>
      <c r="C82" s="1764" t="s">
        <v>363</v>
      </c>
      <c r="D82" s="1765"/>
      <c r="E82" s="1765"/>
      <c r="F82" s="1765"/>
      <c r="G82" s="1765"/>
      <c r="H82" s="1765"/>
      <c r="I82" s="1766"/>
      <c r="J82" s="58" t="s">
        <v>362</v>
      </c>
      <c r="K82" s="1115">
        <v>1</v>
      </c>
      <c r="L82" s="1183">
        <v>146.47</v>
      </c>
      <c r="M82" s="693">
        <f>ROUND(L82*K82,2)</f>
        <v>146.47</v>
      </c>
    </row>
    <row r="83" spans="1:17" ht="27" customHeight="1" x14ac:dyDescent="0.2">
      <c r="A83" s="719" t="s">
        <v>445</v>
      </c>
      <c r="B83" s="58">
        <v>5031</v>
      </c>
      <c r="C83" s="1764" t="s">
        <v>529</v>
      </c>
      <c r="D83" s="1765"/>
      <c r="E83" s="1765"/>
      <c r="F83" s="1765"/>
      <c r="G83" s="1765"/>
      <c r="H83" s="1765"/>
      <c r="I83" s="1766"/>
      <c r="J83" s="58" t="s">
        <v>252</v>
      </c>
      <c r="K83" s="1115">
        <f>1.5*2.1</f>
        <v>3.1500000000000004</v>
      </c>
      <c r="L83" s="1183">
        <v>583</v>
      </c>
      <c r="M83" s="693">
        <f>ROUND(L83*K83,2)</f>
        <v>1836.45</v>
      </c>
    </row>
    <row r="84" spans="1:17" x14ac:dyDescent="0.2">
      <c r="A84" s="719" t="s">
        <v>445</v>
      </c>
      <c r="B84" s="58">
        <v>39624</v>
      </c>
      <c r="C84" s="1764" t="s">
        <v>527</v>
      </c>
      <c r="D84" s="1765"/>
      <c r="E84" s="1765"/>
      <c r="F84" s="1765"/>
      <c r="G84" s="1765"/>
      <c r="H84" s="1765"/>
      <c r="I84" s="1766"/>
      <c r="J84" s="58" t="s">
        <v>1282</v>
      </c>
      <c r="K84" s="1115">
        <v>1</v>
      </c>
      <c r="L84" s="1183">
        <v>1217.79</v>
      </c>
      <c r="M84" s="693">
        <f>ROUND(L84*K84,2)</f>
        <v>1217.79</v>
      </c>
    </row>
    <row r="85" spans="1:17" x14ac:dyDescent="0.2">
      <c r="A85" s="719" t="s">
        <v>282</v>
      </c>
      <c r="B85" s="58">
        <v>88309</v>
      </c>
      <c r="C85" s="1764" t="s">
        <v>374</v>
      </c>
      <c r="D85" s="1765"/>
      <c r="E85" s="1765"/>
      <c r="F85" s="1765"/>
      <c r="G85" s="1765"/>
      <c r="H85" s="1765"/>
      <c r="I85" s="1766"/>
      <c r="J85" s="58" t="s">
        <v>217</v>
      </c>
      <c r="K85" s="720">
        <v>2.024</v>
      </c>
      <c r="L85" s="1183">
        <v>21.31</v>
      </c>
      <c r="M85" s="693">
        <f>ROUND(L85*K85,2)</f>
        <v>43.13</v>
      </c>
    </row>
    <row r="86" spans="1:17" x14ac:dyDescent="0.2">
      <c r="A86" s="719" t="s">
        <v>282</v>
      </c>
      <c r="B86" s="58">
        <v>88316</v>
      </c>
      <c r="C86" s="1764" t="s">
        <v>99</v>
      </c>
      <c r="D86" s="1765"/>
      <c r="E86" s="1765"/>
      <c r="F86" s="1765"/>
      <c r="G86" s="1765"/>
      <c r="H86" s="1765"/>
      <c r="I86" s="1766"/>
      <c r="J86" s="58" t="s">
        <v>217</v>
      </c>
      <c r="K86" s="720">
        <v>1.1759999999999999</v>
      </c>
      <c r="L86" s="1183">
        <v>17.09</v>
      </c>
      <c r="M86" s="693">
        <f>ROUND(L86*K86,2)</f>
        <v>20.100000000000001</v>
      </c>
      <c r="Q86" s="721"/>
    </row>
    <row r="87" spans="1:17" x14ac:dyDescent="0.2">
      <c r="A87" s="1730" t="s">
        <v>1171</v>
      </c>
      <c r="B87" s="1725"/>
      <c r="C87" s="1725"/>
      <c r="D87" s="1725"/>
      <c r="E87" s="1725"/>
      <c r="F87" s="1725"/>
      <c r="G87" s="1725"/>
      <c r="H87" s="1725"/>
      <c r="I87" s="1725"/>
      <c r="J87" s="1725"/>
      <c r="K87" s="1725"/>
      <c r="L87" s="1731"/>
      <c r="M87" s="1154">
        <f>SUM(M82:M86)</f>
        <v>3263.94</v>
      </c>
    </row>
    <row r="89" spans="1:17" x14ac:dyDescent="0.2">
      <c r="A89" s="290" t="s">
        <v>32</v>
      </c>
      <c r="B89" s="1737" t="s">
        <v>131</v>
      </c>
      <c r="C89" s="1737"/>
      <c r="D89" s="1737"/>
      <c r="E89" s="1737"/>
      <c r="F89" s="1737"/>
      <c r="G89" s="1737"/>
      <c r="H89" s="1737"/>
      <c r="I89" s="1737"/>
      <c r="J89" s="1737"/>
      <c r="K89" s="1737"/>
      <c r="L89" s="1737"/>
      <c r="M89" s="1737"/>
    </row>
    <row r="90" spans="1:17" ht="45.75" customHeight="1" x14ac:dyDescent="0.2">
      <c r="A90" s="291" t="str">
        <f>ORÇ!A118</f>
        <v>9.2.11</v>
      </c>
      <c r="C90" s="1727" t="s">
        <v>1189</v>
      </c>
      <c r="D90" s="1728"/>
      <c r="E90" s="1728"/>
      <c r="F90" s="1728"/>
      <c r="G90" s="1728"/>
      <c r="H90" s="1728"/>
      <c r="I90" s="1728"/>
      <c r="J90" s="1728"/>
      <c r="K90" s="1729"/>
      <c r="L90" s="1147" t="s">
        <v>1173</v>
      </c>
      <c r="M90" s="613" t="s">
        <v>96</v>
      </c>
    </row>
    <row r="91" spans="1:17" x14ac:dyDescent="0.2">
      <c r="A91" s="1730" t="s">
        <v>370</v>
      </c>
      <c r="B91" s="1725"/>
      <c r="C91" s="1725"/>
      <c r="D91" s="1725"/>
      <c r="E91" s="1725"/>
      <c r="F91" s="1725"/>
      <c r="G91" s="1725"/>
      <c r="H91" s="1725"/>
      <c r="I91" s="1725"/>
      <c r="J91" s="1725"/>
      <c r="K91" s="1725"/>
      <c r="L91" s="1725"/>
      <c r="M91" s="1726"/>
    </row>
    <row r="92" spans="1:17" x14ac:dyDescent="0.2">
      <c r="A92" s="294" t="s">
        <v>281</v>
      </c>
      <c r="B92" s="667" t="s">
        <v>92</v>
      </c>
      <c r="C92" s="1773" t="s">
        <v>93</v>
      </c>
      <c r="D92" s="1773"/>
      <c r="E92" s="1773"/>
      <c r="F92" s="1773"/>
      <c r="G92" s="1773"/>
      <c r="H92" s="1773"/>
      <c r="I92" s="1773"/>
      <c r="J92" s="667" t="s">
        <v>94</v>
      </c>
      <c r="K92" s="667" t="s">
        <v>35</v>
      </c>
      <c r="L92" s="1147" t="s">
        <v>95</v>
      </c>
      <c r="M92" s="1170" t="s">
        <v>86</v>
      </c>
    </row>
    <row r="93" spans="1:17" ht="29.25" customHeight="1" x14ac:dyDescent="0.2">
      <c r="A93" s="295" t="s">
        <v>445</v>
      </c>
      <c r="B93" s="692">
        <v>4948</v>
      </c>
      <c r="C93" s="1764" t="s">
        <v>610</v>
      </c>
      <c r="D93" s="1765"/>
      <c r="E93" s="1765"/>
      <c r="F93" s="1765"/>
      <c r="G93" s="1765"/>
      <c r="H93" s="1765"/>
      <c r="I93" s="1766"/>
      <c r="J93" s="401" t="s">
        <v>252</v>
      </c>
      <c r="K93" s="402">
        <f>4*2</f>
        <v>8</v>
      </c>
      <c r="L93" s="1183">
        <v>540.16999999999996</v>
      </c>
      <c r="M93" s="693">
        <f t="shared" ref="M93:M101" si="3">ROUND(L93*K93,2)</f>
        <v>4321.3599999999997</v>
      </c>
    </row>
    <row r="94" spans="1:17" ht="29.25" customHeight="1" x14ac:dyDescent="0.2">
      <c r="A94" s="295" t="s">
        <v>282</v>
      </c>
      <c r="B94" s="692">
        <v>88631</v>
      </c>
      <c r="C94" s="1764" t="s">
        <v>611</v>
      </c>
      <c r="D94" s="1765"/>
      <c r="E94" s="1765"/>
      <c r="F94" s="1765"/>
      <c r="G94" s="1765"/>
      <c r="H94" s="1765"/>
      <c r="I94" s="1766"/>
      <c r="J94" s="401" t="s">
        <v>373</v>
      </c>
      <c r="K94" s="402">
        <v>0.08</v>
      </c>
      <c r="L94" s="1183">
        <v>618.28</v>
      </c>
      <c r="M94" s="693">
        <f t="shared" si="3"/>
        <v>49.46</v>
      </c>
    </row>
    <row r="95" spans="1:17" ht="29.25" customHeight="1" x14ac:dyDescent="0.2">
      <c r="A95" s="295" t="s">
        <v>445</v>
      </c>
      <c r="B95" s="692">
        <v>11447</v>
      </c>
      <c r="C95" s="1764" t="s">
        <v>612</v>
      </c>
      <c r="D95" s="1765"/>
      <c r="E95" s="1765"/>
      <c r="F95" s="1765"/>
      <c r="G95" s="1765"/>
      <c r="H95" s="1765"/>
      <c r="I95" s="1766"/>
      <c r="J95" s="401" t="s">
        <v>236</v>
      </c>
      <c r="K95" s="402">
        <v>6</v>
      </c>
      <c r="L95" s="1183">
        <v>35.520000000000003</v>
      </c>
      <c r="M95" s="693">
        <f t="shared" si="3"/>
        <v>213.12</v>
      </c>
    </row>
    <row r="96" spans="1:17" ht="54.75" customHeight="1" x14ac:dyDescent="0.2">
      <c r="A96" s="295" t="s">
        <v>445</v>
      </c>
      <c r="B96" s="692">
        <v>3107</v>
      </c>
      <c r="C96" s="1764" t="s">
        <v>613</v>
      </c>
      <c r="D96" s="1765"/>
      <c r="E96" s="1765"/>
      <c r="F96" s="1765"/>
      <c r="G96" s="1765"/>
      <c r="H96" s="1765"/>
      <c r="I96" s="1766"/>
      <c r="J96" s="401" t="s">
        <v>236</v>
      </c>
      <c r="K96" s="402">
        <v>1</v>
      </c>
      <c r="L96" s="1183">
        <v>8.42</v>
      </c>
      <c r="M96" s="693">
        <f t="shared" si="3"/>
        <v>8.42</v>
      </c>
    </row>
    <row r="97" spans="1:13" ht="54.75" customHeight="1" x14ac:dyDescent="0.2">
      <c r="A97" s="723" t="s">
        <v>445</v>
      </c>
      <c r="B97" s="724">
        <v>5090</v>
      </c>
      <c r="C97" s="1764" t="s">
        <v>614</v>
      </c>
      <c r="D97" s="1765"/>
      <c r="E97" s="1765"/>
      <c r="F97" s="1765"/>
      <c r="G97" s="1765"/>
      <c r="H97" s="1765"/>
      <c r="I97" s="1766"/>
      <c r="J97" s="725" t="s">
        <v>236</v>
      </c>
      <c r="K97" s="726">
        <v>1</v>
      </c>
      <c r="L97" s="1184">
        <v>19.95</v>
      </c>
      <c r="M97" s="693">
        <f t="shared" si="3"/>
        <v>19.95</v>
      </c>
    </row>
    <row r="98" spans="1:13" x14ac:dyDescent="0.2">
      <c r="A98" s="615" t="s">
        <v>282</v>
      </c>
      <c r="B98" s="58">
        <v>100717</v>
      </c>
      <c r="C98" s="1764" t="s">
        <v>615</v>
      </c>
      <c r="D98" s="1765"/>
      <c r="E98" s="1765"/>
      <c r="F98" s="1765"/>
      <c r="G98" s="1765"/>
      <c r="H98" s="1765"/>
      <c r="I98" s="1766"/>
      <c r="J98" s="725" t="s">
        <v>252</v>
      </c>
      <c r="K98" s="726">
        <f>K99</f>
        <v>8</v>
      </c>
      <c r="L98" s="1184">
        <v>7.34</v>
      </c>
      <c r="M98" s="693">
        <f t="shared" si="3"/>
        <v>58.72</v>
      </c>
    </row>
    <row r="99" spans="1:13" ht="50.25" customHeight="1" x14ac:dyDescent="0.2">
      <c r="A99" s="615" t="s">
        <v>282</v>
      </c>
      <c r="B99" s="58">
        <v>100754</v>
      </c>
      <c r="C99" s="1764" t="s">
        <v>616</v>
      </c>
      <c r="D99" s="1765"/>
      <c r="E99" s="1765"/>
      <c r="F99" s="1765"/>
      <c r="G99" s="1765"/>
      <c r="H99" s="1765"/>
      <c r="I99" s="1766"/>
      <c r="J99" s="725" t="s">
        <v>252</v>
      </c>
      <c r="K99" s="726">
        <f>(K93)</f>
        <v>8</v>
      </c>
      <c r="L99" s="1184">
        <v>22.69</v>
      </c>
      <c r="M99" s="693">
        <f t="shared" si="3"/>
        <v>181.52</v>
      </c>
    </row>
    <row r="100" spans="1:13" x14ac:dyDescent="0.2">
      <c r="A100" s="615" t="s">
        <v>282</v>
      </c>
      <c r="B100" s="58">
        <v>88242</v>
      </c>
      <c r="C100" s="1764" t="s">
        <v>377</v>
      </c>
      <c r="D100" s="1765"/>
      <c r="E100" s="1765"/>
      <c r="F100" s="1765"/>
      <c r="G100" s="1765"/>
      <c r="H100" s="1765"/>
      <c r="I100" s="1766"/>
      <c r="J100" s="725" t="s">
        <v>217</v>
      </c>
      <c r="K100" s="726">
        <v>1.8</v>
      </c>
      <c r="L100" s="1184">
        <v>17.13</v>
      </c>
      <c r="M100" s="693">
        <f t="shared" si="3"/>
        <v>30.83</v>
      </c>
    </row>
    <row r="101" spans="1:13" x14ac:dyDescent="0.2">
      <c r="A101" s="615" t="s">
        <v>282</v>
      </c>
      <c r="B101" s="58">
        <v>88309</v>
      </c>
      <c r="C101" s="1764" t="s">
        <v>374</v>
      </c>
      <c r="D101" s="1765"/>
      <c r="E101" s="1765"/>
      <c r="F101" s="1765"/>
      <c r="G101" s="1765"/>
      <c r="H101" s="1765"/>
      <c r="I101" s="1766"/>
      <c r="J101" s="725" t="s">
        <v>217</v>
      </c>
      <c r="K101" s="726">
        <v>1.6</v>
      </c>
      <c r="L101" s="1184">
        <v>21.31</v>
      </c>
      <c r="M101" s="693">
        <f t="shared" si="3"/>
        <v>34.1</v>
      </c>
    </row>
    <row r="102" spans="1:13" x14ac:dyDescent="0.2">
      <c r="A102" s="1730" t="s">
        <v>1171</v>
      </c>
      <c r="B102" s="1725"/>
      <c r="C102" s="1725"/>
      <c r="D102" s="1725"/>
      <c r="E102" s="1725"/>
      <c r="F102" s="1725"/>
      <c r="G102" s="1725"/>
      <c r="H102" s="1725"/>
      <c r="I102" s="1725"/>
      <c r="J102" s="1725"/>
      <c r="K102" s="1725"/>
      <c r="L102" s="1731"/>
      <c r="M102" s="1154">
        <f>SUM(M93:M101)</f>
        <v>4917.4800000000005</v>
      </c>
    </row>
    <row r="104" spans="1:13" x14ac:dyDescent="0.2">
      <c r="A104" s="290" t="s">
        <v>32</v>
      </c>
      <c r="B104" s="1737" t="s">
        <v>131</v>
      </c>
      <c r="C104" s="1737"/>
      <c r="D104" s="1737"/>
      <c r="E104" s="1737"/>
      <c r="F104" s="1737"/>
      <c r="G104" s="1737"/>
      <c r="H104" s="1737"/>
      <c r="I104" s="1737"/>
      <c r="J104" s="1737"/>
      <c r="K104" s="1737"/>
      <c r="L104" s="1737"/>
      <c r="M104" s="1737"/>
    </row>
    <row r="105" spans="1:13" ht="43.5" customHeight="1" x14ac:dyDescent="0.2">
      <c r="A105" s="291" t="str">
        <f>ORÇ!A119</f>
        <v>9.2.12</v>
      </c>
      <c r="C105" s="1727" t="s">
        <v>1188</v>
      </c>
      <c r="D105" s="1728"/>
      <c r="E105" s="1728"/>
      <c r="F105" s="1728"/>
      <c r="G105" s="1728"/>
      <c r="H105" s="1728"/>
      <c r="I105" s="1728"/>
      <c r="J105" s="1728"/>
      <c r="K105" s="1729"/>
      <c r="L105" s="1147" t="s">
        <v>1173</v>
      </c>
      <c r="M105" s="613" t="s">
        <v>96</v>
      </c>
    </row>
    <row r="106" spans="1:13" x14ac:dyDescent="0.2">
      <c r="A106" s="1730" t="s">
        <v>379</v>
      </c>
      <c r="B106" s="1725"/>
      <c r="C106" s="1725"/>
      <c r="D106" s="1725"/>
      <c r="E106" s="1725"/>
      <c r="F106" s="1725"/>
      <c r="G106" s="1725"/>
      <c r="H106" s="1725"/>
      <c r="I106" s="1725"/>
      <c r="J106" s="1725"/>
      <c r="K106" s="1725"/>
      <c r="L106" s="1725"/>
      <c r="M106" s="1726"/>
    </row>
    <row r="107" spans="1:13" x14ac:dyDescent="0.2">
      <c r="A107" s="294" t="s">
        <v>281</v>
      </c>
      <c r="B107" s="667" t="s">
        <v>92</v>
      </c>
      <c r="C107" s="1773" t="s">
        <v>93</v>
      </c>
      <c r="D107" s="1773"/>
      <c r="E107" s="1773"/>
      <c r="F107" s="1773"/>
      <c r="G107" s="1773"/>
      <c r="H107" s="1773"/>
      <c r="I107" s="1773"/>
      <c r="J107" s="667" t="s">
        <v>94</v>
      </c>
      <c r="K107" s="667" t="s">
        <v>35</v>
      </c>
      <c r="L107" s="1147" t="s">
        <v>95</v>
      </c>
      <c r="M107" s="1170" t="s">
        <v>86</v>
      </c>
    </row>
    <row r="108" spans="1:13" ht="33.75" customHeight="1" x14ac:dyDescent="0.2">
      <c r="A108" s="295" t="s">
        <v>445</v>
      </c>
      <c r="B108" s="692">
        <v>4948</v>
      </c>
      <c r="C108" s="1764" t="s">
        <v>610</v>
      </c>
      <c r="D108" s="1765"/>
      <c r="E108" s="1765"/>
      <c r="F108" s="1765"/>
      <c r="G108" s="1765"/>
      <c r="H108" s="1765"/>
      <c r="I108" s="1766"/>
      <c r="J108" s="401" t="s">
        <v>252</v>
      </c>
      <c r="K108" s="402">
        <f>1*2</f>
        <v>2</v>
      </c>
      <c r="L108" s="1183">
        <v>540.16999999999996</v>
      </c>
      <c r="M108" s="693">
        <f t="shared" ref="M108:M116" si="4">ROUND(L108*K108,2)</f>
        <v>1080.3399999999999</v>
      </c>
    </row>
    <row r="109" spans="1:13" ht="33.75" customHeight="1" x14ac:dyDescent="0.2">
      <c r="A109" s="295" t="s">
        <v>282</v>
      </c>
      <c r="B109" s="692">
        <v>88631</v>
      </c>
      <c r="C109" s="1764" t="s">
        <v>611</v>
      </c>
      <c r="D109" s="1765"/>
      <c r="E109" s="1765"/>
      <c r="F109" s="1765"/>
      <c r="G109" s="1765"/>
      <c r="H109" s="1765"/>
      <c r="I109" s="1766"/>
      <c r="J109" s="401" t="s">
        <v>373</v>
      </c>
      <c r="K109" s="402">
        <v>0.08</v>
      </c>
      <c r="L109" s="1183">
        <v>618.28</v>
      </c>
      <c r="M109" s="693">
        <f t="shared" si="4"/>
        <v>49.46</v>
      </c>
    </row>
    <row r="110" spans="1:13" ht="33.75" customHeight="1" x14ac:dyDescent="0.2">
      <c r="A110" s="295" t="s">
        <v>445</v>
      </c>
      <c r="B110" s="692">
        <v>11447</v>
      </c>
      <c r="C110" s="1764" t="s">
        <v>612</v>
      </c>
      <c r="D110" s="1765"/>
      <c r="E110" s="1765"/>
      <c r="F110" s="1765"/>
      <c r="G110" s="1765"/>
      <c r="H110" s="1765"/>
      <c r="I110" s="1766"/>
      <c r="J110" s="401" t="s">
        <v>236</v>
      </c>
      <c r="K110" s="402">
        <v>3</v>
      </c>
      <c r="L110" s="1183">
        <v>35.520000000000003</v>
      </c>
      <c r="M110" s="693">
        <f t="shared" si="4"/>
        <v>106.56</v>
      </c>
    </row>
    <row r="111" spans="1:13" ht="53.25" customHeight="1" x14ac:dyDescent="0.2">
      <c r="A111" s="295" t="s">
        <v>445</v>
      </c>
      <c r="B111" s="692">
        <v>3107</v>
      </c>
      <c r="C111" s="1764" t="s">
        <v>613</v>
      </c>
      <c r="D111" s="1765"/>
      <c r="E111" s="1765"/>
      <c r="F111" s="1765"/>
      <c r="G111" s="1765"/>
      <c r="H111" s="1765"/>
      <c r="I111" s="1766"/>
      <c r="J111" s="401" t="s">
        <v>236</v>
      </c>
      <c r="K111" s="402">
        <v>1</v>
      </c>
      <c r="L111" s="1183">
        <v>8.42</v>
      </c>
      <c r="M111" s="693">
        <f t="shared" si="4"/>
        <v>8.42</v>
      </c>
    </row>
    <row r="112" spans="1:13" ht="48.75" customHeight="1" x14ac:dyDescent="0.2">
      <c r="A112" s="723" t="s">
        <v>445</v>
      </c>
      <c r="B112" s="724">
        <v>5090</v>
      </c>
      <c r="C112" s="1764" t="s">
        <v>614</v>
      </c>
      <c r="D112" s="1765"/>
      <c r="E112" s="1765"/>
      <c r="F112" s="1765"/>
      <c r="G112" s="1765"/>
      <c r="H112" s="1765"/>
      <c r="I112" s="1766"/>
      <c r="J112" s="725" t="s">
        <v>236</v>
      </c>
      <c r="K112" s="726">
        <v>1</v>
      </c>
      <c r="L112" s="1184">
        <v>19.95</v>
      </c>
      <c r="M112" s="693">
        <f t="shared" si="4"/>
        <v>19.95</v>
      </c>
    </row>
    <row r="113" spans="1:16" x14ac:dyDescent="0.2">
      <c r="A113" s="615" t="s">
        <v>282</v>
      </c>
      <c r="B113" s="58">
        <v>100717</v>
      </c>
      <c r="C113" s="1764" t="s">
        <v>615</v>
      </c>
      <c r="D113" s="1765"/>
      <c r="E113" s="1765"/>
      <c r="F113" s="1765"/>
      <c r="G113" s="1765"/>
      <c r="H113" s="1765"/>
      <c r="I113" s="1766"/>
      <c r="J113" s="725" t="s">
        <v>252</v>
      </c>
      <c r="K113" s="726">
        <f>K114</f>
        <v>2</v>
      </c>
      <c r="L113" s="1184">
        <v>7.34</v>
      </c>
      <c r="M113" s="693">
        <f t="shared" si="4"/>
        <v>14.68</v>
      </c>
    </row>
    <row r="114" spans="1:16" ht="48.75" customHeight="1" x14ac:dyDescent="0.2">
      <c r="A114" s="615" t="s">
        <v>282</v>
      </c>
      <c r="B114" s="58">
        <v>100754</v>
      </c>
      <c r="C114" s="1764" t="s">
        <v>616</v>
      </c>
      <c r="D114" s="1765"/>
      <c r="E114" s="1765"/>
      <c r="F114" s="1765"/>
      <c r="G114" s="1765"/>
      <c r="H114" s="1765"/>
      <c r="I114" s="1766"/>
      <c r="J114" s="725" t="s">
        <v>252</v>
      </c>
      <c r="K114" s="726">
        <f>(K108)</f>
        <v>2</v>
      </c>
      <c r="L114" s="1184">
        <v>22.69</v>
      </c>
      <c r="M114" s="693">
        <f t="shared" si="4"/>
        <v>45.38</v>
      </c>
    </row>
    <row r="115" spans="1:16" x14ac:dyDescent="0.2">
      <c r="A115" s="615" t="s">
        <v>282</v>
      </c>
      <c r="B115" s="58">
        <v>88242</v>
      </c>
      <c r="C115" s="1764" t="s">
        <v>377</v>
      </c>
      <c r="D115" s="1765"/>
      <c r="E115" s="1765"/>
      <c r="F115" s="1765"/>
      <c r="G115" s="1765"/>
      <c r="H115" s="1765"/>
      <c r="I115" s="1766"/>
      <c r="J115" s="725" t="s">
        <v>217</v>
      </c>
      <c r="K115" s="726">
        <v>1</v>
      </c>
      <c r="L115" s="1184">
        <v>17.13</v>
      </c>
      <c r="M115" s="693">
        <f t="shared" si="4"/>
        <v>17.13</v>
      </c>
    </row>
    <row r="116" spans="1:16" x14ac:dyDescent="0.2">
      <c r="A116" s="615" t="s">
        <v>282</v>
      </c>
      <c r="B116" s="58">
        <v>88309</v>
      </c>
      <c r="C116" s="1764" t="s">
        <v>374</v>
      </c>
      <c r="D116" s="1765"/>
      <c r="E116" s="1765"/>
      <c r="F116" s="1765"/>
      <c r="G116" s="1765"/>
      <c r="H116" s="1765"/>
      <c r="I116" s="1766"/>
      <c r="J116" s="725" t="s">
        <v>217</v>
      </c>
      <c r="K116" s="726">
        <v>0.8</v>
      </c>
      <c r="L116" s="1184">
        <v>21.31</v>
      </c>
      <c r="M116" s="693">
        <f t="shared" si="4"/>
        <v>17.05</v>
      </c>
    </row>
    <row r="117" spans="1:16" x14ac:dyDescent="0.2">
      <c r="A117" s="1730" t="s">
        <v>1171</v>
      </c>
      <c r="B117" s="1725"/>
      <c r="C117" s="1725"/>
      <c r="D117" s="1725"/>
      <c r="E117" s="1725"/>
      <c r="F117" s="1725"/>
      <c r="G117" s="1725"/>
      <c r="H117" s="1725"/>
      <c r="I117" s="1725"/>
      <c r="J117" s="1725"/>
      <c r="K117" s="1725"/>
      <c r="L117" s="1731"/>
      <c r="M117" s="1154">
        <f>SUM(M108:M116)</f>
        <v>1358.9700000000003</v>
      </c>
    </row>
    <row r="119" spans="1:16" x14ac:dyDescent="0.2">
      <c r="A119" s="1496" t="s">
        <v>375</v>
      </c>
      <c r="B119" s="1497"/>
      <c r="C119" s="1730" t="s">
        <v>131</v>
      </c>
      <c r="D119" s="1725"/>
      <c r="E119" s="1725"/>
      <c r="F119" s="1725"/>
      <c r="G119" s="1725"/>
      <c r="H119" s="1725"/>
      <c r="I119" s="1725"/>
      <c r="J119" s="1725"/>
      <c r="K119" s="1725"/>
      <c r="L119" s="1725"/>
      <c r="M119" s="1726"/>
    </row>
    <row r="120" spans="1:16" x14ac:dyDescent="0.2">
      <c r="A120" s="1462" t="str">
        <f>ORÇ!A144</f>
        <v>11.2.1</v>
      </c>
      <c r="B120" s="1463"/>
      <c r="C120" s="1721" t="s">
        <v>1715</v>
      </c>
      <c r="D120" s="1722"/>
      <c r="E120" s="1722"/>
      <c r="F120" s="1722"/>
      <c r="G120" s="1722"/>
      <c r="H120" s="1722"/>
      <c r="I120" s="1722"/>
      <c r="J120" s="1722"/>
      <c r="K120" s="1723"/>
      <c r="L120" s="1147" t="s">
        <v>1173</v>
      </c>
      <c r="M120" s="1464" t="s">
        <v>214</v>
      </c>
    </row>
    <row r="121" spans="1:16" x14ac:dyDescent="0.2">
      <c r="A121" s="1724" t="s">
        <v>380</v>
      </c>
      <c r="B121" s="1725"/>
      <c r="C121" s="1725"/>
      <c r="D121" s="1725"/>
      <c r="E121" s="1725"/>
      <c r="F121" s="1725"/>
      <c r="G121" s="1725"/>
      <c r="H121" s="1725"/>
      <c r="I121" s="1725"/>
      <c r="J121" s="1725"/>
      <c r="K121" s="1725"/>
      <c r="L121" s="1725"/>
      <c r="M121" s="1726"/>
    </row>
    <row r="122" spans="1:16" x14ac:dyDescent="0.2">
      <c r="A122" s="666" t="s">
        <v>281</v>
      </c>
      <c r="B122" s="1501" t="s">
        <v>92</v>
      </c>
      <c r="C122" s="1145"/>
      <c r="D122" s="1145"/>
      <c r="E122" s="1145"/>
      <c r="F122" s="1145" t="s">
        <v>93</v>
      </c>
      <c r="G122" s="1145"/>
      <c r="H122" s="1145"/>
      <c r="I122" s="1146"/>
      <c r="J122" s="1501" t="s">
        <v>94</v>
      </c>
      <c r="K122" s="1501" t="s">
        <v>35</v>
      </c>
      <c r="L122" s="1147" t="s">
        <v>95</v>
      </c>
      <c r="M122" s="1465" t="s">
        <v>86</v>
      </c>
      <c r="O122">
        <v>0.9</v>
      </c>
    </row>
    <row r="123" spans="1:16" x14ac:dyDescent="0.2">
      <c r="A123" s="1498" t="s">
        <v>620</v>
      </c>
      <c r="B123" s="1502"/>
      <c r="C123" s="1748" t="s">
        <v>1714</v>
      </c>
      <c r="D123" s="1749"/>
      <c r="E123" s="1749"/>
      <c r="F123" s="1749"/>
      <c r="G123" s="1749"/>
      <c r="H123" s="1749"/>
      <c r="I123" s="1750"/>
      <c r="J123" s="604" t="s">
        <v>214</v>
      </c>
      <c r="K123" s="668">
        <v>1</v>
      </c>
      <c r="L123" s="1538">
        <v>55.33</v>
      </c>
      <c r="M123" s="1537">
        <f>ROUND(L123*K123,2)</f>
        <v>55.33</v>
      </c>
    </row>
    <row r="124" spans="1:16" x14ac:dyDescent="0.2">
      <c r="A124" s="1498" t="s">
        <v>621</v>
      </c>
      <c r="B124" s="1502">
        <v>280007</v>
      </c>
      <c r="C124" s="1748" t="s">
        <v>221</v>
      </c>
      <c r="D124" s="1749"/>
      <c r="E124" s="1749"/>
      <c r="F124" s="1749"/>
      <c r="G124" s="1749"/>
      <c r="H124" s="1749"/>
      <c r="I124" s="1750"/>
      <c r="J124" s="1278" t="s">
        <v>217</v>
      </c>
      <c r="K124" s="603">
        <v>0.6</v>
      </c>
      <c r="L124" s="1538">
        <v>17.350000000000001</v>
      </c>
      <c r="M124" s="1537">
        <f>ROUND(L124*K124,2)</f>
        <v>10.41</v>
      </c>
    </row>
    <row r="125" spans="1:16" x14ac:dyDescent="0.2">
      <c r="A125" s="1498" t="s">
        <v>621</v>
      </c>
      <c r="B125" s="1502">
        <v>280014</v>
      </c>
      <c r="C125" s="1748" t="s">
        <v>222</v>
      </c>
      <c r="D125" s="1749"/>
      <c r="E125" s="1749"/>
      <c r="F125" s="1749"/>
      <c r="G125" s="1749"/>
      <c r="H125" s="1749"/>
      <c r="I125" s="1750"/>
      <c r="J125" s="604" t="s">
        <v>217</v>
      </c>
      <c r="K125" s="603">
        <v>1.2</v>
      </c>
      <c r="L125" s="1538">
        <v>21.5</v>
      </c>
      <c r="M125" s="1537">
        <f>ROUND(L125*K125,2)</f>
        <v>25.8</v>
      </c>
    </row>
    <row r="126" spans="1:16" x14ac:dyDescent="0.2">
      <c r="A126" s="600"/>
      <c r="B126" s="665"/>
      <c r="C126" s="1767" t="s">
        <v>1171</v>
      </c>
      <c r="D126" s="1768"/>
      <c r="E126" s="1768"/>
      <c r="F126" s="1768"/>
      <c r="G126" s="1768"/>
      <c r="H126" s="1768"/>
      <c r="I126" s="1768"/>
      <c r="J126" s="1737"/>
      <c r="K126" s="1497"/>
      <c r="L126" s="161"/>
      <c r="M126" s="1154">
        <f>ROUND(SUM(M123:M125),2)</f>
        <v>91.54</v>
      </c>
    </row>
    <row r="127" spans="1:16" x14ac:dyDescent="0.2">
      <c r="O127" s="38"/>
      <c r="P127" s="38"/>
    </row>
    <row r="128" spans="1:16" x14ac:dyDescent="0.2">
      <c r="A128" s="1496" t="s">
        <v>375</v>
      </c>
      <c r="B128" s="1497"/>
      <c r="C128" s="1730" t="s">
        <v>131</v>
      </c>
      <c r="D128" s="1725"/>
      <c r="E128" s="1725"/>
      <c r="F128" s="1725"/>
      <c r="G128" s="1725"/>
      <c r="H128" s="1725"/>
      <c r="I128" s="1725"/>
      <c r="J128" s="1725"/>
      <c r="K128" s="1725"/>
      <c r="L128" s="1725"/>
      <c r="M128" s="1726"/>
    </row>
    <row r="129" spans="1:13" x14ac:dyDescent="0.2">
      <c r="A129" s="1462" t="str">
        <f>ORÇ!A145</f>
        <v>11.2.2</v>
      </c>
      <c r="B129" s="1463"/>
      <c r="C129" s="1721" t="s">
        <v>1713</v>
      </c>
      <c r="D129" s="1722"/>
      <c r="E129" s="1722"/>
      <c r="F129" s="1722"/>
      <c r="G129" s="1722"/>
      <c r="H129" s="1722"/>
      <c r="I129" s="1722"/>
      <c r="J129" s="1722"/>
      <c r="K129" s="1723"/>
      <c r="L129" s="1147" t="s">
        <v>1173</v>
      </c>
      <c r="M129" s="1464" t="s">
        <v>214</v>
      </c>
    </row>
    <row r="130" spans="1:13" x14ac:dyDescent="0.2">
      <c r="A130" s="1724" t="s">
        <v>383</v>
      </c>
      <c r="B130" s="1725"/>
      <c r="C130" s="1725"/>
      <c r="D130" s="1725"/>
      <c r="E130" s="1725"/>
      <c r="F130" s="1725"/>
      <c r="G130" s="1725"/>
      <c r="H130" s="1725"/>
      <c r="I130" s="1725"/>
      <c r="J130" s="1725"/>
      <c r="K130" s="1725"/>
      <c r="L130" s="1725"/>
      <c r="M130" s="1726"/>
    </row>
    <row r="131" spans="1:13" x14ac:dyDescent="0.2">
      <c r="A131" s="666" t="s">
        <v>281</v>
      </c>
      <c r="B131" s="1501" t="s">
        <v>92</v>
      </c>
      <c r="C131" s="1145"/>
      <c r="D131" s="1145"/>
      <c r="E131" s="1145"/>
      <c r="F131" s="1145" t="s">
        <v>93</v>
      </c>
      <c r="G131" s="1145"/>
      <c r="H131" s="1145"/>
      <c r="I131" s="1146"/>
      <c r="J131" s="1501" t="s">
        <v>94</v>
      </c>
      <c r="K131" s="1501" t="s">
        <v>35</v>
      </c>
      <c r="L131" s="1147" t="s">
        <v>95</v>
      </c>
      <c r="M131" s="1465" t="s">
        <v>86</v>
      </c>
    </row>
    <row r="132" spans="1:13" x14ac:dyDescent="0.2">
      <c r="A132" s="1498" t="s">
        <v>620</v>
      </c>
      <c r="B132" s="1502"/>
      <c r="C132" s="1748" t="s">
        <v>1712</v>
      </c>
      <c r="D132" s="1749"/>
      <c r="E132" s="1749"/>
      <c r="F132" s="1749"/>
      <c r="G132" s="1749"/>
      <c r="H132" s="1749"/>
      <c r="I132" s="1750"/>
      <c r="J132" s="604" t="s">
        <v>214</v>
      </c>
      <c r="K132" s="668">
        <v>1</v>
      </c>
      <c r="L132" s="1538">
        <v>28.24</v>
      </c>
      <c r="M132" s="1537">
        <f>ROUND(L132*K132,2)</f>
        <v>28.24</v>
      </c>
    </row>
    <row r="133" spans="1:13" x14ac:dyDescent="0.2">
      <c r="A133" s="1498" t="s">
        <v>621</v>
      </c>
      <c r="B133" s="1502">
        <v>280007</v>
      </c>
      <c r="C133" s="1748" t="s">
        <v>221</v>
      </c>
      <c r="D133" s="1749"/>
      <c r="E133" s="1749"/>
      <c r="F133" s="1749"/>
      <c r="G133" s="1749"/>
      <c r="H133" s="1749"/>
      <c r="I133" s="1750"/>
      <c r="J133" s="1278" t="s">
        <v>217</v>
      </c>
      <c r="K133" s="603">
        <v>0.3</v>
      </c>
      <c r="L133" s="1538">
        <v>17.350000000000001</v>
      </c>
      <c r="M133" s="1537">
        <f>ROUND(L133*K133,2)</f>
        <v>5.21</v>
      </c>
    </row>
    <row r="134" spans="1:13" x14ac:dyDescent="0.2">
      <c r="A134" s="1498" t="s">
        <v>621</v>
      </c>
      <c r="B134" s="1502">
        <v>280014</v>
      </c>
      <c r="C134" s="1748" t="s">
        <v>222</v>
      </c>
      <c r="D134" s="1749"/>
      <c r="E134" s="1749"/>
      <c r="F134" s="1749"/>
      <c r="G134" s="1749"/>
      <c r="H134" s="1749"/>
      <c r="I134" s="1750"/>
      <c r="J134" s="604" t="s">
        <v>217</v>
      </c>
      <c r="K134" s="603">
        <v>0.6</v>
      </c>
      <c r="L134" s="1538">
        <v>21.5</v>
      </c>
      <c r="M134" s="1537">
        <f>ROUND(L134*K134,2)</f>
        <v>12.9</v>
      </c>
    </row>
    <row r="135" spans="1:13" x14ac:dyDescent="0.2">
      <c r="A135" s="600"/>
      <c r="B135" s="665"/>
      <c r="C135" s="1730" t="s">
        <v>1171</v>
      </c>
      <c r="D135" s="1725"/>
      <c r="E135" s="1725"/>
      <c r="F135" s="1725"/>
      <c r="G135" s="1725"/>
      <c r="H135" s="1725"/>
      <c r="I135" s="1725"/>
      <c r="J135" s="1731"/>
      <c r="K135" s="1497"/>
      <c r="L135" s="161"/>
      <c r="M135" s="1154">
        <f>ROUND(SUM(M132:M134),2)</f>
        <v>46.35</v>
      </c>
    </row>
    <row r="137" spans="1:13" x14ac:dyDescent="0.2">
      <c r="A137" s="1496" t="s">
        <v>375</v>
      </c>
      <c r="B137" s="1497"/>
      <c r="C137" s="1730" t="s">
        <v>131</v>
      </c>
      <c r="D137" s="1725"/>
      <c r="E137" s="1725"/>
      <c r="F137" s="1725"/>
      <c r="G137" s="1725"/>
      <c r="H137" s="1725"/>
      <c r="I137" s="1725"/>
      <c r="J137" s="1725"/>
      <c r="K137" s="1725"/>
      <c r="L137" s="1725"/>
      <c r="M137" s="1726"/>
    </row>
    <row r="138" spans="1:13" x14ac:dyDescent="0.2">
      <c r="A138" s="1462" t="str">
        <f>ORÇ!A146</f>
        <v>11.2.3</v>
      </c>
      <c r="B138" s="1463"/>
      <c r="C138" s="1721" t="s">
        <v>1711</v>
      </c>
      <c r="D138" s="1722"/>
      <c r="E138" s="1722"/>
      <c r="F138" s="1722"/>
      <c r="G138" s="1722"/>
      <c r="H138" s="1722"/>
      <c r="I138" s="1722"/>
      <c r="J138" s="1722"/>
      <c r="K138" s="1723"/>
      <c r="L138" s="1147" t="s">
        <v>1173</v>
      </c>
      <c r="M138" s="1464" t="s">
        <v>236</v>
      </c>
    </row>
    <row r="139" spans="1:13" x14ac:dyDescent="0.2">
      <c r="A139" s="1724" t="s">
        <v>384</v>
      </c>
      <c r="B139" s="1725"/>
      <c r="C139" s="1725"/>
      <c r="D139" s="1725"/>
      <c r="E139" s="1725"/>
      <c r="F139" s="1725"/>
      <c r="G139" s="1725"/>
      <c r="H139" s="1725"/>
      <c r="I139" s="1725"/>
      <c r="J139" s="1725"/>
      <c r="K139" s="1725"/>
      <c r="L139" s="1725"/>
      <c r="M139" s="1726"/>
    </row>
    <row r="140" spans="1:13" x14ac:dyDescent="0.2">
      <c r="A140" s="666" t="s">
        <v>281</v>
      </c>
      <c r="B140" s="1501" t="s">
        <v>92</v>
      </c>
      <c r="C140" s="1145"/>
      <c r="D140" s="1145"/>
      <c r="E140" s="1145"/>
      <c r="F140" s="1145" t="s">
        <v>93</v>
      </c>
      <c r="G140" s="1145"/>
      <c r="H140" s="1145"/>
      <c r="I140" s="1146"/>
      <c r="J140" s="1501" t="s">
        <v>94</v>
      </c>
      <c r="K140" s="1501" t="s">
        <v>35</v>
      </c>
      <c r="L140" s="1147" t="s">
        <v>95</v>
      </c>
      <c r="M140" s="1465" t="s">
        <v>86</v>
      </c>
    </row>
    <row r="141" spans="1:13" x14ac:dyDescent="0.2">
      <c r="A141" s="1498" t="s">
        <v>620</v>
      </c>
      <c r="B141" s="1502"/>
      <c r="C141" s="1748" t="s">
        <v>1528</v>
      </c>
      <c r="D141" s="1749"/>
      <c r="E141" s="1749"/>
      <c r="F141" s="1749"/>
      <c r="G141" s="1749"/>
      <c r="H141" s="1749"/>
      <c r="I141" s="1750"/>
      <c r="J141" s="604" t="s">
        <v>236</v>
      </c>
      <c r="K141" s="668">
        <v>1</v>
      </c>
      <c r="L141" s="1538">
        <v>103.99</v>
      </c>
      <c r="M141" s="1537">
        <f>ROUND(L141*K141,2)</f>
        <v>103.99</v>
      </c>
    </row>
    <row r="142" spans="1:13" x14ac:dyDescent="0.2">
      <c r="A142" s="1498" t="s">
        <v>621</v>
      </c>
      <c r="B142" s="1502">
        <v>280007</v>
      </c>
      <c r="C142" s="1748" t="s">
        <v>221</v>
      </c>
      <c r="D142" s="1749"/>
      <c r="E142" s="1749"/>
      <c r="F142" s="1749"/>
      <c r="G142" s="1749"/>
      <c r="H142" s="1749"/>
      <c r="I142" s="1750"/>
      <c r="J142" s="1278" t="s">
        <v>217</v>
      </c>
      <c r="K142" s="603">
        <v>0.1</v>
      </c>
      <c r="L142" s="1538">
        <v>17.350000000000001</v>
      </c>
      <c r="M142" s="1537">
        <f>ROUND(L142*K142,2)</f>
        <v>1.74</v>
      </c>
    </row>
    <row r="143" spans="1:13" x14ac:dyDescent="0.2">
      <c r="A143" s="1498" t="s">
        <v>621</v>
      </c>
      <c r="B143" s="1502">
        <v>280014</v>
      </c>
      <c r="C143" s="1748" t="s">
        <v>222</v>
      </c>
      <c r="D143" s="1749"/>
      <c r="E143" s="1749"/>
      <c r="F143" s="1749"/>
      <c r="G143" s="1749"/>
      <c r="H143" s="1749"/>
      <c r="I143" s="1750"/>
      <c r="J143" s="604" t="s">
        <v>217</v>
      </c>
      <c r="K143" s="603">
        <v>0.4</v>
      </c>
      <c r="L143" s="1538">
        <v>21.5</v>
      </c>
      <c r="M143" s="1537">
        <f>ROUND(L143*K143,2)</f>
        <v>8.6</v>
      </c>
    </row>
    <row r="144" spans="1:13" x14ac:dyDescent="0.2">
      <c r="A144" s="600"/>
      <c r="B144" s="665"/>
      <c r="C144" s="1730" t="s">
        <v>1171</v>
      </c>
      <c r="D144" s="1725"/>
      <c r="E144" s="1725"/>
      <c r="F144" s="1725"/>
      <c r="G144" s="1725"/>
      <c r="H144" s="1725"/>
      <c r="I144" s="1725"/>
      <c r="J144" s="1731"/>
      <c r="K144" s="1497"/>
      <c r="L144" s="161"/>
      <c r="M144" s="1154">
        <f>ROUND(SUM(M141:M143),2)</f>
        <v>114.33</v>
      </c>
    </row>
    <row r="146" spans="1:13" x14ac:dyDescent="0.2">
      <c r="A146" s="1496" t="s">
        <v>375</v>
      </c>
      <c r="B146" s="1497"/>
      <c r="C146" s="1730" t="s">
        <v>131</v>
      </c>
      <c r="D146" s="1725"/>
      <c r="E146" s="1725"/>
      <c r="F146" s="1725"/>
      <c r="G146" s="1725"/>
      <c r="H146" s="1725"/>
      <c r="I146" s="1725"/>
      <c r="J146" s="1725"/>
      <c r="K146" s="1725"/>
      <c r="L146" s="1725"/>
      <c r="M146" s="1726"/>
    </row>
    <row r="147" spans="1:13" x14ac:dyDescent="0.2">
      <c r="A147" s="1462" t="str">
        <f>ORÇ!A147</f>
        <v>11.2.4</v>
      </c>
      <c r="B147" s="1463"/>
      <c r="C147" s="1721" t="s">
        <v>1710</v>
      </c>
      <c r="D147" s="1722"/>
      <c r="E147" s="1722"/>
      <c r="F147" s="1722"/>
      <c r="G147" s="1722"/>
      <c r="H147" s="1722"/>
      <c r="I147" s="1722"/>
      <c r="J147" s="1722"/>
      <c r="K147" s="1723"/>
      <c r="L147" s="1147" t="s">
        <v>1173</v>
      </c>
      <c r="M147" s="1464" t="s">
        <v>236</v>
      </c>
    </row>
    <row r="148" spans="1:13" x14ac:dyDescent="0.2">
      <c r="A148" s="1724" t="s">
        <v>397</v>
      </c>
      <c r="B148" s="1725"/>
      <c r="C148" s="1725"/>
      <c r="D148" s="1725"/>
      <c r="E148" s="1725"/>
      <c r="F148" s="1725"/>
      <c r="G148" s="1725"/>
      <c r="H148" s="1725"/>
      <c r="I148" s="1725"/>
      <c r="J148" s="1725"/>
      <c r="K148" s="1725"/>
      <c r="L148" s="1725"/>
      <c r="M148" s="1726"/>
    </row>
    <row r="149" spans="1:13" x14ac:dyDescent="0.2">
      <c r="A149" s="666" t="s">
        <v>281</v>
      </c>
      <c r="B149" s="1501" t="s">
        <v>92</v>
      </c>
      <c r="C149" s="1145"/>
      <c r="D149" s="1145"/>
      <c r="E149" s="1145"/>
      <c r="F149" s="1145" t="s">
        <v>93</v>
      </c>
      <c r="G149" s="1145"/>
      <c r="H149" s="1145"/>
      <c r="I149" s="1146"/>
      <c r="J149" s="1501" t="s">
        <v>94</v>
      </c>
      <c r="K149" s="1501" t="s">
        <v>35</v>
      </c>
      <c r="L149" s="1147" t="s">
        <v>95</v>
      </c>
      <c r="M149" s="1465" t="s">
        <v>86</v>
      </c>
    </row>
    <row r="150" spans="1:13" x14ac:dyDescent="0.2">
      <c r="A150" s="1498" t="s">
        <v>620</v>
      </c>
      <c r="B150" s="1502"/>
      <c r="C150" s="1748" t="s">
        <v>1709</v>
      </c>
      <c r="D150" s="1749"/>
      <c r="E150" s="1749"/>
      <c r="F150" s="1749"/>
      <c r="G150" s="1749"/>
      <c r="H150" s="1749"/>
      <c r="I150" s="1750"/>
      <c r="J150" s="604" t="s">
        <v>236</v>
      </c>
      <c r="K150" s="668">
        <v>1</v>
      </c>
      <c r="L150" s="1538">
        <v>10.48</v>
      </c>
      <c r="M150" s="1537">
        <f>ROUND(L150*K150,2)</f>
        <v>10.48</v>
      </c>
    </row>
    <row r="151" spans="1:13" x14ac:dyDescent="0.2">
      <c r="A151" s="1498" t="s">
        <v>621</v>
      </c>
      <c r="B151" s="1502" t="s">
        <v>1654</v>
      </c>
      <c r="C151" s="1748" t="s">
        <v>221</v>
      </c>
      <c r="D151" s="1749"/>
      <c r="E151" s="1749"/>
      <c r="F151" s="1749"/>
      <c r="G151" s="1749"/>
      <c r="H151" s="1749"/>
      <c r="I151" s="1750"/>
      <c r="J151" s="1278" t="s">
        <v>217</v>
      </c>
      <c r="K151" s="603">
        <v>0.1</v>
      </c>
      <c r="L151" s="1538">
        <v>17.350000000000001</v>
      </c>
      <c r="M151" s="1537">
        <f>ROUND(L151*K151,2)</f>
        <v>1.74</v>
      </c>
    </row>
    <row r="152" spans="1:13" x14ac:dyDescent="0.2">
      <c r="A152" s="1498" t="s">
        <v>621</v>
      </c>
      <c r="B152" s="1502" t="s">
        <v>1653</v>
      </c>
      <c r="C152" s="1748" t="s">
        <v>222</v>
      </c>
      <c r="D152" s="1749"/>
      <c r="E152" s="1749"/>
      <c r="F152" s="1749"/>
      <c r="G152" s="1749"/>
      <c r="H152" s="1749"/>
      <c r="I152" s="1750"/>
      <c r="J152" s="604" t="s">
        <v>217</v>
      </c>
      <c r="K152" s="603">
        <v>0.4</v>
      </c>
      <c r="L152" s="1538">
        <v>21.5</v>
      </c>
      <c r="M152" s="1537">
        <f>ROUND(L152*K152,2)</f>
        <v>8.6</v>
      </c>
    </row>
    <row r="153" spans="1:13" x14ac:dyDescent="0.2">
      <c r="A153" s="600"/>
      <c r="B153" s="665"/>
      <c r="C153" s="1767" t="s">
        <v>1171</v>
      </c>
      <c r="D153" s="1768"/>
      <c r="E153" s="1768"/>
      <c r="F153" s="1768"/>
      <c r="G153" s="1768"/>
      <c r="H153" s="1768"/>
      <c r="I153" s="1768"/>
      <c r="J153" s="1737"/>
      <c r="K153" s="1497"/>
      <c r="L153" s="161"/>
      <c r="M153" s="1154">
        <f>ROUND(SUM(M150:M152),2)</f>
        <v>20.82</v>
      </c>
    </row>
    <row r="155" spans="1:13" x14ac:dyDescent="0.2">
      <c r="A155" s="1496" t="s">
        <v>375</v>
      </c>
      <c r="B155" s="1497"/>
      <c r="C155" s="1730" t="s">
        <v>131</v>
      </c>
      <c r="D155" s="1725"/>
      <c r="E155" s="1725"/>
      <c r="F155" s="1725"/>
      <c r="G155" s="1725"/>
      <c r="H155" s="1725"/>
      <c r="I155" s="1725"/>
      <c r="J155" s="1725"/>
      <c r="K155" s="1725"/>
      <c r="L155" s="1725"/>
      <c r="M155" s="1726"/>
    </row>
    <row r="156" spans="1:13" x14ac:dyDescent="0.2">
      <c r="A156" s="1462" t="str">
        <f>ORÇ!A148</f>
        <v>11.2.5</v>
      </c>
      <c r="B156" s="1463"/>
      <c r="C156" s="1721" t="s">
        <v>1708</v>
      </c>
      <c r="D156" s="1722"/>
      <c r="E156" s="1722"/>
      <c r="F156" s="1722"/>
      <c r="G156" s="1722"/>
      <c r="H156" s="1722"/>
      <c r="I156" s="1722"/>
      <c r="J156" s="1722"/>
      <c r="K156" s="1723"/>
      <c r="L156" s="1147" t="s">
        <v>1173</v>
      </c>
      <c r="M156" s="1464" t="s">
        <v>236</v>
      </c>
    </row>
    <row r="157" spans="1:13" x14ac:dyDescent="0.2">
      <c r="A157" s="1724" t="s">
        <v>398</v>
      </c>
      <c r="B157" s="1725"/>
      <c r="C157" s="1725"/>
      <c r="D157" s="1725"/>
      <c r="E157" s="1725"/>
      <c r="F157" s="1725"/>
      <c r="G157" s="1725"/>
      <c r="H157" s="1725"/>
      <c r="I157" s="1725"/>
      <c r="J157" s="1725"/>
      <c r="K157" s="1725"/>
      <c r="L157" s="1725"/>
      <c r="M157" s="1726"/>
    </row>
    <row r="158" spans="1:13" x14ac:dyDescent="0.2">
      <c r="A158" s="666" t="s">
        <v>281</v>
      </c>
      <c r="B158" s="1501" t="s">
        <v>92</v>
      </c>
      <c r="C158" s="1145"/>
      <c r="D158" s="1145"/>
      <c r="E158" s="1145"/>
      <c r="F158" s="1145" t="s">
        <v>93</v>
      </c>
      <c r="G158" s="1145"/>
      <c r="H158" s="1145"/>
      <c r="I158" s="1146"/>
      <c r="J158" s="1501" t="s">
        <v>94</v>
      </c>
      <c r="K158" s="1501" t="s">
        <v>35</v>
      </c>
      <c r="L158" s="1147" t="s">
        <v>95</v>
      </c>
      <c r="M158" s="1465" t="s">
        <v>86</v>
      </c>
    </row>
    <row r="159" spans="1:13" x14ac:dyDescent="0.2">
      <c r="A159" s="1498" t="s">
        <v>620</v>
      </c>
      <c r="B159" s="1502"/>
      <c r="C159" s="1748" t="s">
        <v>1706</v>
      </c>
      <c r="D159" s="1749"/>
      <c r="E159" s="1749"/>
      <c r="F159" s="1749"/>
      <c r="G159" s="1749"/>
      <c r="H159" s="1749"/>
      <c r="I159" s="1750"/>
      <c r="J159" s="604" t="s">
        <v>236</v>
      </c>
      <c r="K159" s="668">
        <v>1</v>
      </c>
      <c r="L159" s="1538">
        <v>58.5</v>
      </c>
      <c r="M159" s="1537">
        <f>ROUND(L159*K159,2)</f>
        <v>58.5</v>
      </c>
    </row>
    <row r="160" spans="1:13" x14ac:dyDescent="0.2">
      <c r="A160" s="1498" t="s">
        <v>621</v>
      </c>
      <c r="B160" s="1502">
        <v>280007</v>
      </c>
      <c r="C160" s="1748" t="s">
        <v>221</v>
      </c>
      <c r="D160" s="1749"/>
      <c r="E160" s="1749"/>
      <c r="F160" s="1749"/>
      <c r="G160" s="1749"/>
      <c r="H160" s="1749"/>
      <c r="I160" s="1750"/>
      <c r="J160" s="1278" t="s">
        <v>217</v>
      </c>
      <c r="K160" s="603">
        <v>0.1</v>
      </c>
      <c r="L160" s="1538">
        <v>17.350000000000001</v>
      </c>
      <c r="M160" s="1537">
        <f>ROUND(L160*K160,2)</f>
        <v>1.74</v>
      </c>
    </row>
    <row r="161" spans="1:13" x14ac:dyDescent="0.2">
      <c r="A161" s="1498" t="s">
        <v>621</v>
      </c>
      <c r="B161" s="1502">
        <v>280014</v>
      </c>
      <c r="C161" s="1748" t="s">
        <v>222</v>
      </c>
      <c r="D161" s="1749"/>
      <c r="E161" s="1749"/>
      <c r="F161" s="1749"/>
      <c r="G161" s="1749"/>
      <c r="H161" s="1749"/>
      <c r="I161" s="1750"/>
      <c r="J161" s="604" t="s">
        <v>217</v>
      </c>
      <c r="K161" s="603">
        <v>0.4</v>
      </c>
      <c r="L161" s="1538">
        <v>21.5</v>
      </c>
      <c r="M161" s="1537">
        <f>ROUND(L161*K161,2)</f>
        <v>8.6</v>
      </c>
    </row>
    <row r="162" spans="1:13" x14ac:dyDescent="0.2">
      <c r="A162" s="600"/>
      <c r="B162" s="665"/>
      <c r="C162" s="1767" t="s">
        <v>1171</v>
      </c>
      <c r="D162" s="1768"/>
      <c r="E162" s="1768"/>
      <c r="F162" s="1768"/>
      <c r="G162" s="1768"/>
      <c r="H162" s="1768"/>
      <c r="I162" s="1768"/>
      <c r="J162" s="1737"/>
      <c r="K162" s="1497"/>
      <c r="L162" s="161"/>
      <c r="M162" s="1154">
        <f>ROUND(SUM(M159:M161),2)</f>
        <v>68.84</v>
      </c>
    </row>
    <row r="164" spans="1:13" x14ac:dyDescent="0.2">
      <c r="A164" s="1496" t="s">
        <v>375</v>
      </c>
      <c r="B164" s="1497"/>
      <c r="C164" s="1730" t="s">
        <v>131</v>
      </c>
      <c r="D164" s="1725"/>
      <c r="E164" s="1725"/>
      <c r="F164" s="1725"/>
      <c r="G164" s="1725"/>
      <c r="H164" s="1725"/>
      <c r="I164" s="1725"/>
      <c r="J164" s="1725"/>
      <c r="K164" s="1725"/>
      <c r="L164" s="1725"/>
      <c r="M164" s="1726"/>
    </row>
    <row r="165" spans="1:13" x14ac:dyDescent="0.2">
      <c r="A165" s="1462" t="str">
        <f>ORÇ!A149</f>
        <v>11.2.6</v>
      </c>
      <c r="B165" s="1463"/>
      <c r="C165" s="1721" t="s">
        <v>1705</v>
      </c>
      <c r="D165" s="1722"/>
      <c r="E165" s="1722"/>
      <c r="F165" s="1722"/>
      <c r="G165" s="1722"/>
      <c r="H165" s="1722"/>
      <c r="I165" s="1722"/>
      <c r="J165" s="1722"/>
      <c r="K165" s="1723"/>
      <c r="L165" s="1147" t="s">
        <v>1173</v>
      </c>
      <c r="M165" s="1464" t="s">
        <v>236</v>
      </c>
    </row>
    <row r="166" spans="1:13" x14ac:dyDescent="0.2">
      <c r="A166" s="1724" t="s">
        <v>399</v>
      </c>
      <c r="B166" s="1725"/>
      <c r="C166" s="1725"/>
      <c r="D166" s="1725"/>
      <c r="E166" s="1725"/>
      <c r="F166" s="1725"/>
      <c r="G166" s="1725"/>
      <c r="H166" s="1725"/>
      <c r="I166" s="1725"/>
      <c r="J166" s="1725"/>
      <c r="K166" s="1725"/>
      <c r="L166" s="1725"/>
      <c r="M166" s="1726"/>
    </row>
    <row r="167" spans="1:13" x14ac:dyDescent="0.2">
      <c r="A167" s="666" t="s">
        <v>281</v>
      </c>
      <c r="B167" s="1501" t="s">
        <v>92</v>
      </c>
      <c r="C167" s="1145"/>
      <c r="D167" s="1145"/>
      <c r="E167" s="1145"/>
      <c r="F167" s="1145" t="s">
        <v>93</v>
      </c>
      <c r="G167" s="1145"/>
      <c r="H167" s="1145"/>
      <c r="I167" s="1146"/>
      <c r="J167" s="1501" t="s">
        <v>94</v>
      </c>
      <c r="K167" s="1501" t="s">
        <v>35</v>
      </c>
      <c r="L167" s="1147" t="s">
        <v>95</v>
      </c>
      <c r="M167" s="1465" t="s">
        <v>86</v>
      </c>
    </row>
    <row r="168" spans="1:13" x14ac:dyDescent="0.2">
      <c r="A168" s="1498" t="s">
        <v>620</v>
      </c>
      <c r="B168" s="1502"/>
      <c r="C168" s="1748" t="s">
        <v>1704</v>
      </c>
      <c r="D168" s="1749"/>
      <c r="E168" s="1749"/>
      <c r="F168" s="1749"/>
      <c r="G168" s="1749"/>
      <c r="H168" s="1749"/>
      <c r="I168" s="1750"/>
      <c r="J168" s="604" t="s">
        <v>236</v>
      </c>
      <c r="K168" s="668">
        <v>1</v>
      </c>
      <c r="L168" s="1538">
        <v>38.71</v>
      </c>
      <c r="M168" s="1537">
        <f>ROUND(L168*K168,2)</f>
        <v>38.71</v>
      </c>
    </row>
    <row r="169" spans="1:13" x14ac:dyDescent="0.2">
      <c r="A169" s="1498" t="s">
        <v>621</v>
      </c>
      <c r="B169" s="1502" t="s">
        <v>1654</v>
      </c>
      <c r="C169" s="1748" t="s">
        <v>221</v>
      </c>
      <c r="D169" s="1749"/>
      <c r="E169" s="1749"/>
      <c r="F169" s="1749"/>
      <c r="G169" s="1749"/>
      <c r="H169" s="1749"/>
      <c r="I169" s="1750"/>
      <c r="J169" s="1278" t="s">
        <v>217</v>
      </c>
      <c r="K169" s="603">
        <v>0.1</v>
      </c>
      <c r="L169" s="1538">
        <v>17.350000000000001</v>
      </c>
      <c r="M169" s="1537">
        <f>ROUND(L169*K169,2)</f>
        <v>1.74</v>
      </c>
    </row>
    <row r="170" spans="1:13" x14ac:dyDescent="0.2">
      <c r="A170" s="1498" t="s">
        <v>621</v>
      </c>
      <c r="B170" s="1502" t="s">
        <v>1653</v>
      </c>
      <c r="C170" s="1748" t="s">
        <v>222</v>
      </c>
      <c r="D170" s="1749"/>
      <c r="E170" s="1749"/>
      <c r="F170" s="1749"/>
      <c r="G170" s="1749"/>
      <c r="H170" s="1749"/>
      <c r="I170" s="1750"/>
      <c r="J170" s="604" t="s">
        <v>217</v>
      </c>
      <c r="K170" s="603">
        <v>0.4</v>
      </c>
      <c r="L170" s="1538">
        <v>21.5</v>
      </c>
      <c r="M170" s="1537">
        <f>ROUND(L170*K170,2)</f>
        <v>8.6</v>
      </c>
    </row>
    <row r="171" spans="1:13" x14ac:dyDescent="0.2">
      <c r="A171" s="600"/>
      <c r="B171" s="665"/>
      <c r="C171" s="1767" t="s">
        <v>1171</v>
      </c>
      <c r="D171" s="1768"/>
      <c r="E171" s="1768"/>
      <c r="F171" s="1768"/>
      <c r="G171" s="1768"/>
      <c r="H171" s="1768"/>
      <c r="I171" s="1768"/>
      <c r="J171" s="1737"/>
      <c r="K171" s="1497"/>
      <c r="L171" s="161"/>
      <c r="M171" s="1154">
        <f>ROUND(SUM(M168:M170),2)</f>
        <v>49.05</v>
      </c>
    </row>
    <row r="173" spans="1:13" x14ac:dyDescent="0.2">
      <c r="A173" s="1496" t="s">
        <v>375</v>
      </c>
      <c r="B173" s="1497"/>
      <c r="C173" s="1730" t="s">
        <v>131</v>
      </c>
      <c r="D173" s="1725"/>
      <c r="E173" s="1725"/>
      <c r="F173" s="1725"/>
      <c r="G173" s="1725"/>
      <c r="H173" s="1725"/>
      <c r="I173" s="1725"/>
      <c r="J173" s="1725"/>
      <c r="K173" s="1725"/>
      <c r="L173" s="1725"/>
      <c r="M173" s="1726"/>
    </row>
    <row r="174" spans="1:13" x14ac:dyDescent="0.2">
      <c r="A174" s="1462" t="str">
        <f>ORÇ!A150</f>
        <v>11.2.7</v>
      </c>
      <c r="B174" s="1463"/>
      <c r="C174" s="1721" t="s">
        <v>1703</v>
      </c>
      <c r="D174" s="1722"/>
      <c r="E174" s="1722"/>
      <c r="F174" s="1722"/>
      <c r="G174" s="1722"/>
      <c r="H174" s="1722"/>
      <c r="I174" s="1722"/>
      <c r="J174" s="1722"/>
      <c r="K174" s="1723"/>
      <c r="L174" s="1147" t="s">
        <v>1173</v>
      </c>
      <c r="M174" s="1464" t="s">
        <v>236</v>
      </c>
    </row>
    <row r="175" spans="1:13" x14ac:dyDescent="0.2">
      <c r="A175" s="1724" t="s">
        <v>400</v>
      </c>
      <c r="B175" s="1725"/>
      <c r="C175" s="1725"/>
      <c r="D175" s="1725"/>
      <c r="E175" s="1725"/>
      <c r="F175" s="1725"/>
      <c r="G175" s="1725"/>
      <c r="H175" s="1725"/>
      <c r="I175" s="1725"/>
      <c r="J175" s="1725"/>
      <c r="K175" s="1725"/>
      <c r="L175" s="1725"/>
      <c r="M175" s="1726"/>
    </row>
    <row r="176" spans="1:13" x14ac:dyDescent="0.2">
      <c r="A176" s="666" t="s">
        <v>281</v>
      </c>
      <c r="B176" s="1501" t="s">
        <v>92</v>
      </c>
      <c r="C176" s="1145"/>
      <c r="D176" s="1145"/>
      <c r="E176" s="1145"/>
      <c r="F176" s="1145" t="s">
        <v>93</v>
      </c>
      <c r="G176" s="1145"/>
      <c r="H176" s="1145"/>
      <c r="I176" s="1146"/>
      <c r="J176" s="1501" t="s">
        <v>94</v>
      </c>
      <c r="K176" s="1501" t="s">
        <v>35</v>
      </c>
      <c r="L176" s="1147" t="s">
        <v>95</v>
      </c>
      <c r="M176" s="1465" t="s">
        <v>86</v>
      </c>
    </row>
    <row r="177" spans="1:13" x14ac:dyDescent="0.2">
      <c r="A177" s="1498" t="s">
        <v>620</v>
      </c>
      <c r="B177" s="1502"/>
      <c r="C177" s="1748" t="s">
        <v>1701</v>
      </c>
      <c r="D177" s="1749"/>
      <c r="E177" s="1749"/>
      <c r="F177" s="1749"/>
      <c r="G177" s="1749"/>
      <c r="H177" s="1749"/>
      <c r="I177" s="1750"/>
      <c r="J177" s="604" t="s">
        <v>236</v>
      </c>
      <c r="K177" s="668">
        <v>1</v>
      </c>
      <c r="L177" s="1538">
        <v>16.96</v>
      </c>
      <c r="M177" s="1537">
        <f>ROUND(L177*K177,2)</f>
        <v>16.96</v>
      </c>
    </row>
    <row r="178" spans="1:13" x14ac:dyDescent="0.2">
      <c r="A178" s="1498" t="s">
        <v>621</v>
      </c>
      <c r="B178" s="1502" t="s">
        <v>1654</v>
      </c>
      <c r="C178" s="1748" t="s">
        <v>221</v>
      </c>
      <c r="D178" s="1749"/>
      <c r="E178" s="1749"/>
      <c r="F178" s="1749"/>
      <c r="G178" s="1749"/>
      <c r="H178" s="1749"/>
      <c r="I178" s="1750"/>
      <c r="J178" s="1278" t="s">
        <v>217</v>
      </c>
      <c r="K178" s="603">
        <v>0.1</v>
      </c>
      <c r="L178" s="1538">
        <v>17.350000000000001</v>
      </c>
      <c r="M178" s="1537">
        <f>ROUND(L178*K178,2)</f>
        <v>1.74</v>
      </c>
    </row>
    <row r="179" spans="1:13" x14ac:dyDescent="0.2">
      <c r="A179" s="1498" t="s">
        <v>621</v>
      </c>
      <c r="B179" s="1502" t="s">
        <v>1653</v>
      </c>
      <c r="C179" s="1748" t="s">
        <v>222</v>
      </c>
      <c r="D179" s="1749"/>
      <c r="E179" s="1749"/>
      <c r="F179" s="1749"/>
      <c r="G179" s="1749"/>
      <c r="H179" s="1749"/>
      <c r="I179" s="1750"/>
      <c r="J179" s="604" t="s">
        <v>217</v>
      </c>
      <c r="K179" s="603">
        <v>0.15</v>
      </c>
      <c r="L179" s="1538">
        <v>21.5</v>
      </c>
      <c r="M179" s="1537">
        <f>ROUND(L179*K179,2)</f>
        <v>3.23</v>
      </c>
    </row>
    <row r="180" spans="1:13" x14ac:dyDescent="0.2">
      <c r="A180" s="600"/>
      <c r="B180" s="665"/>
      <c r="C180" s="1767" t="s">
        <v>1171</v>
      </c>
      <c r="D180" s="1768"/>
      <c r="E180" s="1768"/>
      <c r="F180" s="1768"/>
      <c r="G180" s="1768"/>
      <c r="H180" s="1768"/>
      <c r="I180" s="1768"/>
      <c r="J180" s="1737"/>
      <c r="K180" s="1497"/>
      <c r="L180" s="161"/>
      <c r="M180" s="1154">
        <f>ROUND(SUM(M177:M179),2)</f>
        <v>21.93</v>
      </c>
    </row>
    <row r="182" spans="1:13" x14ac:dyDescent="0.2">
      <c r="A182" s="1496" t="s">
        <v>375</v>
      </c>
      <c r="B182" s="1497"/>
      <c r="C182" s="1730" t="s">
        <v>131</v>
      </c>
      <c r="D182" s="1725"/>
      <c r="E182" s="1725"/>
      <c r="F182" s="1725"/>
      <c r="G182" s="1725"/>
      <c r="H182" s="1725"/>
      <c r="I182" s="1725"/>
      <c r="J182" s="1725"/>
      <c r="K182" s="1725"/>
      <c r="L182" s="1725"/>
      <c r="M182" s="1726"/>
    </row>
    <row r="183" spans="1:13" x14ac:dyDescent="0.2">
      <c r="A183" s="1462" t="str">
        <f>ORÇ!A151</f>
        <v>11.2.8</v>
      </c>
      <c r="B183" s="1463"/>
      <c r="C183" s="1721" t="s">
        <v>1700</v>
      </c>
      <c r="D183" s="1722"/>
      <c r="E183" s="1722"/>
      <c r="F183" s="1722"/>
      <c r="G183" s="1722"/>
      <c r="H183" s="1722"/>
      <c r="I183" s="1722"/>
      <c r="J183" s="1722"/>
      <c r="K183" s="1723"/>
      <c r="L183" s="1147" t="s">
        <v>1173</v>
      </c>
      <c r="M183" s="1464" t="s">
        <v>236</v>
      </c>
    </row>
    <row r="184" spans="1:13" x14ac:dyDescent="0.2">
      <c r="A184" s="1724" t="s">
        <v>412</v>
      </c>
      <c r="B184" s="1725"/>
      <c r="C184" s="1725"/>
      <c r="D184" s="1725"/>
      <c r="E184" s="1725"/>
      <c r="F184" s="1725"/>
      <c r="G184" s="1725"/>
      <c r="H184" s="1725"/>
      <c r="I184" s="1725"/>
      <c r="J184" s="1725"/>
      <c r="K184" s="1725"/>
      <c r="L184" s="1725"/>
      <c r="M184" s="1726"/>
    </row>
    <row r="185" spans="1:13" x14ac:dyDescent="0.2">
      <c r="A185" s="666" t="s">
        <v>281</v>
      </c>
      <c r="B185" s="1501" t="s">
        <v>92</v>
      </c>
      <c r="C185" s="1145"/>
      <c r="D185" s="1145"/>
      <c r="E185" s="1145"/>
      <c r="F185" s="1145" t="s">
        <v>93</v>
      </c>
      <c r="G185" s="1145"/>
      <c r="H185" s="1145"/>
      <c r="I185" s="1146"/>
      <c r="J185" s="1501" t="s">
        <v>94</v>
      </c>
      <c r="K185" s="1501" t="s">
        <v>35</v>
      </c>
      <c r="L185" s="1147" t="s">
        <v>95</v>
      </c>
      <c r="M185" s="1465" t="s">
        <v>86</v>
      </c>
    </row>
    <row r="186" spans="1:13" x14ac:dyDescent="0.2">
      <c r="A186" s="1498" t="s">
        <v>620</v>
      </c>
      <c r="B186" s="1502"/>
      <c r="C186" s="1748" t="s">
        <v>1699</v>
      </c>
      <c r="D186" s="1749"/>
      <c r="E186" s="1749"/>
      <c r="F186" s="1749"/>
      <c r="G186" s="1749"/>
      <c r="H186" s="1749"/>
      <c r="I186" s="1750"/>
      <c r="J186" s="1464" t="s">
        <v>236</v>
      </c>
      <c r="K186" s="668">
        <v>1</v>
      </c>
      <c r="L186" s="1538">
        <v>9.74</v>
      </c>
      <c r="M186" s="1537">
        <f>ROUND(L186*K186,2)</f>
        <v>9.74</v>
      </c>
    </row>
    <row r="187" spans="1:13" x14ac:dyDescent="0.2">
      <c r="A187" s="1498" t="s">
        <v>621</v>
      </c>
      <c r="B187" s="1502" t="s">
        <v>1654</v>
      </c>
      <c r="C187" s="1748" t="s">
        <v>221</v>
      </c>
      <c r="D187" s="1749"/>
      <c r="E187" s="1749"/>
      <c r="F187" s="1749"/>
      <c r="G187" s="1749"/>
      <c r="H187" s="1749"/>
      <c r="I187" s="1750"/>
      <c r="J187" s="1278" t="s">
        <v>217</v>
      </c>
      <c r="K187" s="603">
        <v>0.1</v>
      </c>
      <c r="L187" s="1538">
        <v>17.350000000000001</v>
      </c>
      <c r="M187" s="1537">
        <f>ROUND(L187*K187,2)</f>
        <v>1.74</v>
      </c>
    </row>
    <row r="188" spans="1:13" x14ac:dyDescent="0.2">
      <c r="A188" s="1498" t="s">
        <v>621</v>
      </c>
      <c r="B188" s="1502" t="s">
        <v>1653</v>
      </c>
      <c r="C188" s="1748" t="s">
        <v>222</v>
      </c>
      <c r="D188" s="1749"/>
      <c r="E188" s="1749"/>
      <c r="F188" s="1749"/>
      <c r="G188" s="1749"/>
      <c r="H188" s="1749"/>
      <c r="I188" s="1750"/>
      <c r="J188" s="604" t="s">
        <v>217</v>
      </c>
      <c r="K188" s="603">
        <v>0.15</v>
      </c>
      <c r="L188" s="1538">
        <v>21.5</v>
      </c>
      <c r="M188" s="1537">
        <f>ROUND(L188*K188,2)</f>
        <v>3.23</v>
      </c>
    </row>
    <row r="189" spans="1:13" x14ac:dyDescent="0.2">
      <c r="A189" s="600"/>
      <c r="B189" s="665"/>
      <c r="C189" s="1767" t="s">
        <v>1171</v>
      </c>
      <c r="D189" s="1768"/>
      <c r="E189" s="1768"/>
      <c r="F189" s="1768"/>
      <c r="G189" s="1768"/>
      <c r="H189" s="1768"/>
      <c r="I189" s="1768"/>
      <c r="J189" s="1737"/>
      <c r="K189" s="1497"/>
      <c r="L189" s="161"/>
      <c r="M189" s="1154">
        <f>ROUND(SUM(M186:M188),2)</f>
        <v>14.71</v>
      </c>
    </row>
    <row r="191" spans="1:13" x14ac:dyDescent="0.2">
      <c r="A191" s="1496" t="s">
        <v>375</v>
      </c>
      <c r="B191" s="1497"/>
      <c r="C191" s="1730" t="s">
        <v>131</v>
      </c>
      <c r="D191" s="1725"/>
      <c r="E191" s="1725"/>
      <c r="F191" s="1725"/>
      <c r="G191" s="1725"/>
      <c r="H191" s="1725"/>
      <c r="I191" s="1725"/>
      <c r="J191" s="1725"/>
      <c r="K191" s="1725"/>
      <c r="L191" s="1725"/>
      <c r="M191" s="1726"/>
    </row>
    <row r="192" spans="1:13" x14ac:dyDescent="0.2">
      <c r="A192" s="1462" t="str">
        <f>ORÇ!A152</f>
        <v>11.2.9</v>
      </c>
      <c r="B192" s="1463"/>
      <c r="C192" s="1721" t="s">
        <v>1698</v>
      </c>
      <c r="D192" s="1722"/>
      <c r="E192" s="1722"/>
      <c r="F192" s="1722"/>
      <c r="G192" s="1722"/>
      <c r="H192" s="1722"/>
      <c r="I192" s="1722"/>
      <c r="J192" s="1722"/>
      <c r="K192" s="1723"/>
      <c r="L192" s="1147" t="s">
        <v>1173</v>
      </c>
      <c r="M192" s="1464" t="s">
        <v>236</v>
      </c>
    </row>
    <row r="193" spans="1:13" x14ac:dyDescent="0.2">
      <c r="A193" s="1724" t="s">
        <v>414</v>
      </c>
      <c r="B193" s="1725"/>
      <c r="C193" s="1725"/>
      <c r="D193" s="1725"/>
      <c r="E193" s="1725"/>
      <c r="F193" s="1725"/>
      <c r="G193" s="1725"/>
      <c r="H193" s="1725"/>
      <c r="I193" s="1725"/>
      <c r="J193" s="1725"/>
      <c r="K193" s="1725"/>
      <c r="L193" s="1725"/>
      <c r="M193" s="1726"/>
    </row>
    <row r="194" spans="1:13" x14ac:dyDescent="0.2">
      <c r="A194" s="666" t="s">
        <v>281</v>
      </c>
      <c r="B194" s="1501" t="s">
        <v>92</v>
      </c>
      <c r="C194" s="1145"/>
      <c r="D194" s="1145"/>
      <c r="E194" s="1145"/>
      <c r="F194" s="1145" t="s">
        <v>93</v>
      </c>
      <c r="G194" s="1145"/>
      <c r="H194" s="1145"/>
      <c r="I194" s="1146"/>
      <c r="J194" s="1501" t="s">
        <v>94</v>
      </c>
      <c r="K194" s="1501" t="s">
        <v>35</v>
      </c>
      <c r="L194" s="1147" t="s">
        <v>95</v>
      </c>
      <c r="M194" s="1465" t="s">
        <v>86</v>
      </c>
    </row>
    <row r="195" spans="1:13" x14ac:dyDescent="0.2">
      <c r="A195" s="1498" t="s">
        <v>620</v>
      </c>
      <c r="B195" s="1502"/>
      <c r="C195" s="1748" t="s">
        <v>1697</v>
      </c>
      <c r="D195" s="1749"/>
      <c r="E195" s="1749"/>
      <c r="F195" s="1749"/>
      <c r="G195" s="1749"/>
      <c r="H195" s="1749"/>
      <c r="I195" s="1750"/>
      <c r="J195" s="1464" t="s">
        <v>236</v>
      </c>
      <c r="K195" s="668">
        <v>1</v>
      </c>
      <c r="L195" s="1538">
        <v>5.59</v>
      </c>
      <c r="M195" s="1537">
        <f>ROUND(L195*K195,2)</f>
        <v>5.59</v>
      </c>
    </row>
    <row r="196" spans="1:13" x14ac:dyDescent="0.2">
      <c r="A196" s="1498" t="s">
        <v>621</v>
      </c>
      <c r="B196" s="1502" t="s">
        <v>1654</v>
      </c>
      <c r="C196" s="1748" t="s">
        <v>221</v>
      </c>
      <c r="D196" s="1749"/>
      <c r="E196" s="1749"/>
      <c r="F196" s="1749"/>
      <c r="G196" s="1749"/>
      <c r="H196" s="1749"/>
      <c r="I196" s="1750"/>
      <c r="J196" s="1278" t="s">
        <v>217</v>
      </c>
      <c r="K196" s="603">
        <v>0.05</v>
      </c>
      <c r="L196" s="1538">
        <v>17.350000000000001</v>
      </c>
      <c r="M196" s="1537">
        <f>ROUND(L196*K196,2)</f>
        <v>0.87</v>
      </c>
    </row>
    <row r="197" spans="1:13" x14ac:dyDescent="0.2">
      <c r="A197" s="1498" t="s">
        <v>621</v>
      </c>
      <c r="B197" s="1502" t="s">
        <v>1653</v>
      </c>
      <c r="C197" s="1748" t="s">
        <v>222</v>
      </c>
      <c r="D197" s="1749"/>
      <c r="E197" s="1749"/>
      <c r="F197" s="1749"/>
      <c r="G197" s="1749"/>
      <c r="H197" s="1749"/>
      <c r="I197" s="1750"/>
      <c r="J197" s="604" t="s">
        <v>217</v>
      </c>
      <c r="K197" s="603">
        <v>0.1</v>
      </c>
      <c r="L197" s="1538">
        <v>21.5</v>
      </c>
      <c r="M197" s="1537">
        <f>ROUND(L197*K197,2)</f>
        <v>2.15</v>
      </c>
    </row>
    <row r="198" spans="1:13" x14ac:dyDescent="0.2">
      <c r="A198" s="600"/>
      <c r="B198" s="665"/>
      <c r="C198" s="1767" t="s">
        <v>1171</v>
      </c>
      <c r="D198" s="1768"/>
      <c r="E198" s="1768"/>
      <c r="F198" s="1768"/>
      <c r="G198" s="1768"/>
      <c r="H198" s="1768"/>
      <c r="I198" s="1768"/>
      <c r="J198" s="1737"/>
      <c r="K198" s="1497"/>
      <c r="L198" s="161"/>
      <c r="M198" s="1154">
        <f>ROUND(SUM(M195:M197),2)</f>
        <v>8.61</v>
      </c>
    </row>
    <row r="200" spans="1:13" x14ac:dyDescent="0.2">
      <c r="A200" s="1496" t="s">
        <v>375</v>
      </c>
      <c r="B200" s="1497"/>
      <c r="C200" s="1730" t="s">
        <v>131</v>
      </c>
      <c r="D200" s="1725"/>
      <c r="E200" s="1725"/>
      <c r="F200" s="1725"/>
      <c r="G200" s="1725"/>
      <c r="H200" s="1725"/>
      <c r="I200" s="1725"/>
      <c r="J200" s="1725"/>
      <c r="K200" s="1725"/>
      <c r="L200" s="1725"/>
      <c r="M200" s="1726"/>
    </row>
    <row r="201" spans="1:13" x14ac:dyDescent="0.2">
      <c r="A201" s="1462" t="str">
        <f>ORÇ!A166</f>
        <v>11.3.1</v>
      </c>
      <c r="B201" s="1463"/>
      <c r="C201" s="1721" t="s">
        <v>1696</v>
      </c>
      <c r="D201" s="1722"/>
      <c r="E201" s="1722"/>
      <c r="F201" s="1722"/>
      <c r="G201" s="1722"/>
      <c r="H201" s="1722"/>
      <c r="I201" s="1722"/>
      <c r="J201" s="1722"/>
      <c r="K201" s="1723"/>
      <c r="L201" s="1147" t="s">
        <v>1173</v>
      </c>
      <c r="M201" s="1464" t="s">
        <v>236</v>
      </c>
    </row>
    <row r="202" spans="1:13" x14ac:dyDescent="0.2">
      <c r="A202" s="1724" t="s">
        <v>416</v>
      </c>
      <c r="B202" s="1725"/>
      <c r="C202" s="1725"/>
      <c r="D202" s="1725"/>
      <c r="E202" s="1725"/>
      <c r="F202" s="1725"/>
      <c r="G202" s="1725"/>
      <c r="H202" s="1725"/>
      <c r="I202" s="1725"/>
      <c r="J202" s="1725"/>
      <c r="K202" s="1725"/>
      <c r="L202" s="1725"/>
      <c r="M202" s="1726"/>
    </row>
    <row r="203" spans="1:13" x14ac:dyDescent="0.2">
      <c r="A203" s="666" t="s">
        <v>281</v>
      </c>
      <c r="B203" s="1501" t="s">
        <v>92</v>
      </c>
      <c r="C203" s="1145"/>
      <c r="D203" s="1145"/>
      <c r="E203" s="1145"/>
      <c r="F203" s="1145" t="s">
        <v>93</v>
      </c>
      <c r="G203" s="1145"/>
      <c r="H203" s="1145"/>
      <c r="I203" s="1146"/>
      <c r="J203" s="1501" t="s">
        <v>94</v>
      </c>
      <c r="K203" s="1501" t="s">
        <v>35</v>
      </c>
      <c r="L203" s="1147" t="s">
        <v>95</v>
      </c>
      <c r="M203" s="1465" t="s">
        <v>86</v>
      </c>
    </row>
    <row r="204" spans="1:13" x14ac:dyDescent="0.2">
      <c r="A204" s="1498" t="s">
        <v>620</v>
      </c>
      <c r="B204" s="1502"/>
      <c r="C204" s="1748" t="s">
        <v>1695</v>
      </c>
      <c r="D204" s="1749"/>
      <c r="E204" s="1749"/>
      <c r="F204" s="1749"/>
      <c r="G204" s="1749"/>
      <c r="H204" s="1749"/>
      <c r="I204" s="1750"/>
      <c r="J204" s="1464" t="s">
        <v>236</v>
      </c>
      <c r="K204" s="668">
        <v>1</v>
      </c>
      <c r="L204" s="1538">
        <v>2223.94</v>
      </c>
      <c r="M204" s="1537">
        <f>ROUND(L204*K204,2)</f>
        <v>2223.94</v>
      </c>
    </row>
    <row r="205" spans="1:13" x14ac:dyDescent="0.2">
      <c r="A205" s="1498" t="s">
        <v>621</v>
      </c>
      <c r="B205" s="1502" t="s">
        <v>1654</v>
      </c>
      <c r="C205" s="1748" t="s">
        <v>221</v>
      </c>
      <c r="D205" s="1749"/>
      <c r="E205" s="1749"/>
      <c r="F205" s="1749"/>
      <c r="G205" s="1749"/>
      <c r="H205" s="1749"/>
      <c r="I205" s="1750"/>
      <c r="J205" s="1278" t="s">
        <v>217</v>
      </c>
      <c r="K205" s="603">
        <v>0.8</v>
      </c>
      <c r="L205" s="1538">
        <v>17.350000000000001</v>
      </c>
      <c r="M205" s="1537">
        <f>ROUND(L205*K205,2)</f>
        <v>13.88</v>
      </c>
    </row>
    <row r="206" spans="1:13" x14ac:dyDescent="0.2">
      <c r="A206" s="1498" t="s">
        <v>621</v>
      </c>
      <c r="B206" s="1502" t="s">
        <v>1653</v>
      </c>
      <c r="C206" s="1748" t="s">
        <v>222</v>
      </c>
      <c r="D206" s="1749"/>
      <c r="E206" s="1749"/>
      <c r="F206" s="1749"/>
      <c r="G206" s="1749"/>
      <c r="H206" s="1749"/>
      <c r="I206" s="1750"/>
      <c r="J206" s="604" t="s">
        <v>217</v>
      </c>
      <c r="K206" s="603">
        <v>1.2</v>
      </c>
      <c r="L206" s="1538">
        <v>21.5</v>
      </c>
      <c r="M206" s="1537">
        <f>ROUND(L206*K206,2)</f>
        <v>25.8</v>
      </c>
    </row>
    <row r="207" spans="1:13" x14ac:dyDescent="0.2">
      <c r="A207" s="1498" t="s">
        <v>621</v>
      </c>
      <c r="B207" s="1502" t="s">
        <v>1694</v>
      </c>
      <c r="C207" s="1748" t="s">
        <v>1693</v>
      </c>
      <c r="D207" s="1749"/>
      <c r="E207" s="1749"/>
      <c r="F207" s="1749"/>
      <c r="G207" s="1749"/>
      <c r="H207" s="1749"/>
      <c r="I207" s="1750"/>
      <c r="J207" s="1278" t="s">
        <v>218</v>
      </c>
      <c r="K207" s="603">
        <v>0.05</v>
      </c>
      <c r="L207" s="1538">
        <v>515.12</v>
      </c>
      <c r="M207" s="1537">
        <f>ROUND(L207*K207,2)</f>
        <v>25.76</v>
      </c>
    </row>
    <row r="208" spans="1:13" x14ac:dyDescent="0.2">
      <c r="A208" s="600"/>
      <c r="B208" s="665"/>
      <c r="C208" s="1767" t="s">
        <v>1171</v>
      </c>
      <c r="D208" s="1768"/>
      <c r="E208" s="1768"/>
      <c r="F208" s="1768"/>
      <c r="G208" s="1768"/>
      <c r="H208" s="1768"/>
      <c r="I208" s="1768"/>
      <c r="J208" s="1737"/>
      <c r="K208" s="1497"/>
      <c r="L208" s="161"/>
      <c r="M208" s="1154">
        <f>ROUND(SUM(M204:M207),2)</f>
        <v>2289.38</v>
      </c>
    </row>
    <row r="210" spans="1:13" x14ac:dyDescent="0.2">
      <c r="A210" s="1496" t="s">
        <v>375</v>
      </c>
      <c r="B210" s="1497"/>
      <c r="C210" s="1730" t="s">
        <v>131</v>
      </c>
      <c r="D210" s="1725"/>
      <c r="E210" s="1725"/>
      <c r="F210" s="1725"/>
      <c r="G210" s="1725"/>
      <c r="H210" s="1725"/>
      <c r="I210" s="1725"/>
      <c r="J210" s="1725"/>
      <c r="K210" s="1725"/>
      <c r="L210" s="1725"/>
      <c r="M210" s="1726"/>
    </row>
    <row r="211" spans="1:13" x14ac:dyDescent="0.2">
      <c r="A211" s="1462" t="str">
        <f>ORÇ!A167</f>
        <v>11.3.2</v>
      </c>
      <c r="B211" s="1463"/>
      <c r="C211" s="1721" t="s">
        <v>1692</v>
      </c>
      <c r="D211" s="1722"/>
      <c r="E211" s="1722"/>
      <c r="F211" s="1722"/>
      <c r="G211" s="1722"/>
      <c r="H211" s="1722"/>
      <c r="I211" s="1722"/>
      <c r="J211" s="1722"/>
      <c r="K211" s="1723"/>
      <c r="L211" s="1147" t="s">
        <v>1173</v>
      </c>
      <c r="M211" s="1464" t="s">
        <v>236</v>
      </c>
    </row>
    <row r="212" spans="1:13" x14ac:dyDescent="0.2">
      <c r="A212" s="1724" t="s">
        <v>418</v>
      </c>
      <c r="B212" s="1725"/>
      <c r="C212" s="1725"/>
      <c r="D212" s="1725"/>
      <c r="E212" s="1725"/>
      <c r="F212" s="1725"/>
      <c r="G212" s="1725"/>
      <c r="H212" s="1725"/>
      <c r="I212" s="1725"/>
      <c r="J212" s="1725"/>
      <c r="K212" s="1725"/>
      <c r="L212" s="1725"/>
      <c r="M212" s="1726"/>
    </row>
    <row r="213" spans="1:13" x14ac:dyDescent="0.2">
      <c r="A213" s="666" t="s">
        <v>281</v>
      </c>
      <c r="B213" s="1501" t="s">
        <v>92</v>
      </c>
      <c r="C213" s="1145"/>
      <c r="D213" s="1145"/>
      <c r="E213" s="1145"/>
      <c r="F213" s="1145" t="s">
        <v>93</v>
      </c>
      <c r="G213" s="1145"/>
      <c r="H213" s="1145"/>
      <c r="I213" s="1146"/>
      <c r="J213" s="1501" t="s">
        <v>94</v>
      </c>
      <c r="K213" s="1501" t="s">
        <v>35</v>
      </c>
      <c r="L213" s="1147" t="s">
        <v>95</v>
      </c>
      <c r="M213" s="1465" t="s">
        <v>86</v>
      </c>
    </row>
    <row r="214" spans="1:13" x14ac:dyDescent="0.2">
      <c r="A214" s="1498" t="s">
        <v>620</v>
      </c>
      <c r="B214" s="1502"/>
      <c r="C214" s="1748" t="s">
        <v>1691</v>
      </c>
      <c r="D214" s="1749"/>
      <c r="E214" s="1749"/>
      <c r="F214" s="1749"/>
      <c r="G214" s="1749"/>
      <c r="H214" s="1749"/>
      <c r="I214" s="1750"/>
      <c r="J214" s="1464" t="s">
        <v>236</v>
      </c>
      <c r="K214" s="668">
        <v>1</v>
      </c>
      <c r="L214" s="1538">
        <v>680.08</v>
      </c>
      <c r="M214" s="1537">
        <f>ROUND(L214*K214,2)</f>
        <v>680.08</v>
      </c>
    </row>
    <row r="215" spans="1:13" x14ac:dyDescent="0.2">
      <c r="A215" s="1498" t="s">
        <v>621</v>
      </c>
      <c r="B215" s="1502" t="s">
        <v>1654</v>
      </c>
      <c r="C215" s="1748" t="s">
        <v>221</v>
      </c>
      <c r="D215" s="1749"/>
      <c r="E215" s="1749"/>
      <c r="F215" s="1749"/>
      <c r="G215" s="1749"/>
      <c r="H215" s="1749"/>
      <c r="I215" s="1750"/>
      <c r="J215" s="1278" t="s">
        <v>217</v>
      </c>
      <c r="K215" s="603">
        <v>0.1</v>
      </c>
      <c r="L215" s="1538">
        <v>17.350000000000001</v>
      </c>
      <c r="M215" s="1537">
        <f>ROUND(L215*K215,2)</f>
        <v>1.74</v>
      </c>
    </row>
    <row r="216" spans="1:13" x14ac:dyDescent="0.2">
      <c r="A216" s="1498" t="s">
        <v>621</v>
      </c>
      <c r="B216" s="1502" t="s">
        <v>1653</v>
      </c>
      <c r="C216" s="1748" t="s">
        <v>222</v>
      </c>
      <c r="D216" s="1749"/>
      <c r="E216" s="1749"/>
      <c r="F216" s="1749"/>
      <c r="G216" s="1749"/>
      <c r="H216" s="1749"/>
      <c r="I216" s="1750"/>
      <c r="J216" s="604" t="s">
        <v>217</v>
      </c>
      <c r="K216" s="603">
        <v>0.2</v>
      </c>
      <c r="L216" s="1538">
        <v>21.5</v>
      </c>
      <c r="M216" s="1537">
        <f>ROUND(L216*K216,2)</f>
        <v>4.3</v>
      </c>
    </row>
    <row r="217" spans="1:13" x14ac:dyDescent="0.2">
      <c r="A217" s="600"/>
      <c r="B217" s="665"/>
      <c r="C217" s="1767" t="s">
        <v>1171</v>
      </c>
      <c r="D217" s="1768"/>
      <c r="E217" s="1768"/>
      <c r="F217" s="1768"/>
      <c r="G217" s="1768"/>
      <c r="H217" s="1768"/>
      <c r="I217" s="1768"/>
      <c r="J217" s="1737"/>
      <c r="K217" s="1497"/>
      <c r="L217" s="161"/>
      <c r="M217" s="1154">
        <f>ROUND(SUM(M214:M216),2)</f>
        <v>686.12</v>
      </c>
    </row>
    <row r="219" spans="1:13" x14ac:dyDescent="0.2">
      <c r="A219" s="1496" t="s">
        <v>375</v>
      </c>
      <c r="B219" s="1497"/>
      <c r="C219" s="1730" t="s">
        <v>131</v>
      </c>
      <c r="D219" s="1725"/>
      <c r="E219" s="1725"/>
      <c r="F219" s="1725"/>
      <c r="G219" s="1725"/>
      <c r="H219" s="1725"/>
      <c r="I219" s="1725"/>
      <c r="J219" s="1725"/>
      <c r="K219" s="1725"/>
      <c r="L219" s="1725"/>
      <c r="M219" s="1726"/>
    </row>
    <row r="220" spans="1:13" x14ac:dyDescent="0.2">
      <c r="A220" s="1462" t="str">
        <f>ORÇ!A168</f>
        <v>11.3.3</v>
      </c>
      <c r="B220" s="1463"/>
      <c r="C220" s="1721" t="s">
        <v>1690</v>
      </c>
      <c r="D220" s="1722"/>
      <c r="E220" s="1722"/>
      <c r="F220" s="1722"/>
      <c r="G220" s="1722"/>
      <c r="H220" s="1722"/>
      <c r="I220" s="1722"/>
      <c r="J220" s="1722"/>
      <c r="K220" s="1723"/>
      <c r="L220" s="1147" t="s">
        <v>1173</v>
      </c>
      <c r="M220" s="1464" t="s">
        <v>236</v>
      </c>
    </row>
    <row r="221" spans="1:13" x14ac:dyDescent="0.2">
      <c r="A221" s="1724" t="s">
        <v>419</v>
      </c>
      <c r="B221" s="1725"/>
      <c r="C221" s="1725"/>
      <c r="D221" s="1725"/>
      <c r="E221" s="1725"/>
      <c r="F221" s="1725"/>
      <c r="G221" s="1725"/>
      <c r="H221" s="1725"/>
      <c r="I221" s="1725"/>
      <c r="J221" s="1725"/>
      <c r="K221" s="1725"/>
      <c r="L221" s="1725"/>
      <c r="M221" s="1726"/>
    </row>
    <row r="222" spans="1:13" x14ac:dyDescent="0.2">
      <c r="A222" s="666" t="s">
        <v>281</v>
      </c>
      <c r="B222" s="1501" t="s">
        <v>92</v>
      </c>
      <c r="C222" s="1145"/>
      <c r="D222" s="1145"/>
      <c r="E222" s="1145"/>
      <c r="F222" s="1145" t="s">
        <v>93</v>
      </c>
      <c r="G222" s="1145"/>
      <c r="H222" s="1145"/>
      <c r="I222" s="1146"/>
      <c r="J222" s="1501" t="s">
        <v>94</v>
      </c>
      <c r="K222" s="1501" t="s">
        <v>35</v>
      </c>
      <c r="L222" s="1147" t="s">
        <v>95</v>
      </c>
      <c r="M222" s="1465" t="s">
        <v>86</v>
      </c>
    </row>
    <row r="223" spans="1:13" x14ac:dyDescent="0.2">
      <c r="A223" s="1498" t="s">
        <v>620</v>
      </c>
      <c r="B223" s="1502"/>
      <c r="C223" s="1748" t="s">
        <v>1689</v>
      </c>
      <c r="D223" s="1749"/>
      <c r="E223" s="1749"/>
      <c r="F223" s="1749"/>
      <c r="G223" s="1749"/>
      <c r="H223" s="1749"/>
      <c r="I223" s="1750"/>
      <c r="J223" s="1464" t="s">
        <v>236</v>
      </c>
      <c r="K223" s="668">
        <v>1</v>
      </c>
      <c r="L223" s="1538">
        <v>175.96</v>
      </c>
      <c r="M223" s="1537">
        <f>ROUND(L223*K223,2)</f>
        <v>175.96</v>
      </c>
    </row>
    <row r="224" spans="1:13" x14ac:dyDescent="0.2">
      <c r="A224" s="1498" t="s">
        <v>621</v>
      </c>
      <c r="B224" s="1502" t="s">
        <v>1654</v>
      </c>
      <c r="C224" s="1748" t="s">
        <v>221</v>
      </c>
      <c r="D224" s="1749"/>
      <c r="E224" s="1749"/>
      <c r="F224" s="1749"/>
      <c r="G224" s="1749"/>
      <c r="H224" s="1749"/>
      <c r="I224" s="1750"/>
      <c r="J224" s="1278" t="s">
        <v>217</v>
      </c>
      <c r="K224" s="603">
        <v>0.6</v>
      </c>
      <c r="L224" s="1538">
        <v>17.350000000000001</v>
      </c>
      <c r="M224" s="1537">
        <f>ROUND(L224*K224,2)</f>
        <v>10.41</v>
      </c>
    </row>
    <row r="225" spans="1:13" x14ac:dyDescent="0.2">
      <c r="A225" s="1498" t="s">
        <v>621</v>
      </c>
      <c r="B225" s="1502" t="s">
        <v>1653</v>
      </c>
      <c r="C225" s="1748" t="s">
        <v>222</v>
      </c>
      <c r="D225" s="1749"/>
      <c r="E225" s="1749"/>
      <c r="F225" s="1749"/>
      <c r="G225" s="1749"/>
      <c r="H225" s="1749"/>
      <c r="I225" s="1750"/>
      <c r="J225" s="604" t="s">
        <v>217</v>
      </c>
      <c r="K225" s="603">
        <v>0.9</v>
      </c>
      <c r="L225" s="1538">
        <v>21.5</v>
      </c>
      <c r="M225" s="1537">
        <f>ROUND(L225*K225,2)</f>
        <v>19.350000000000001</v>
      </c>
    </row>
    <row r="226" spans="1:13" x14ac:dyDescent="0.2">
      <c r="A226" s="600"/>
      <c r="B226" s="665"/>
      <c r="C226" s="1767" t="s">
        <v>1171</v>
      </c>
      <c r="D226" s="1768"/>
      <c r="E226" s="1768"/>
      <c r="F226" s="1768"/>
      <c r="G226" s="1768"/>
      <c r="H226" s="1768"/>
      <c r="I226" s="1768"/>
      <c r="J226" s="1737"/>
      <c r="K226" s="1497"/>
      <c r="L226" s="161"/>
      <c r="M226" s="1154">
        <f>ROUND(SUM(M223:M225),2)</f>
        <v>205.72</v>
      </c>
    </row>
    <row r="228" spans="1:13" x14ac:dyDescent="0.2">
      <c r="A228" s="1496" t="s">
        <v>375</v>
      </c>
      <c r="B228" s="1497"/>
      <c r="C228" s="1730" t="s">
        <v>131</v>
      </c>
      <c r="D228" s="1725"/>
      <c r="E228" s="1725"/>
      <c r="F228" s="1725"/>
      <c r="G228" s="1725"/>
      <c r="H228" s="1725"/>
      <c r="I228" s="1725"/>
      <c r="J228" s="1725"/>
      <c r="K228" s="1725"/>
      <c r="L228" s="1725"/>
      <c r="M228" s="1726"/>
    </row>
    <row r="229" spans="1:13" x14ac:dyDescent="0.2">
      <c r="A229" s="1462" t="str">
        <f>ORÇ!A201</f>
        <v>11.9.2</v>
      </c>
      <c r="B229" s="1463"/>
      <c r="C229" s="1721" t="s">
        <v>1688</v>
      </c>
      <c r="D229" s="1722"/>
      <c r="E229" s="1722"/>
      <c r="F229" s="1722"/>
      <c r="G229" s="1722"/>
      <c r="H229" s="1722"/>
      <c r="I229" s="1722"/>
      <c r="J229" s="1722"/>
      <c r="K229" s="1723"/>
      <c r="L229" s="1147" t="s">
        <v>1173</v>
      </c>
      <c r="M229" s="1464" t="s">
        <v>214</v>
      </c>
    </row>
    <row r="230" spans="1:13" x14ac:dyDescent="0.2">
      <c r="A230" s="1724" t="s">
        <v>376</v>
      </c>
      <c r="B230" s="1725"/>
      <c r="C230" s="1725"/>
      <c r="D230" s="1725"/>
      <c r="E230" s="1725"/>
      <c r="F230" s="1725"/>
      <c r="G230" s="1725"/>
      <c r="H230" s="1725"/>
      <c r="I230" s="1725"/>
      <c r="J230" s="1725"/>
      <c r="K230" s="1725"/>
      <c r="L230" s="1725"/>
      <c r="M230" s="1726"/>
    </row>
    <row r="231" spans="1:13" x14ac:dyDescent="0.2">
      <c r="A231" s="666" t="s">
        <v>281</v>
      </c>
      <c r="B231" s="1501" t="s">
        <v>92</v>
      </c>
      <c r="C231" s="1145"/>
      <c r="D231" s="1145"/>
      <c r="E231" s="1145"/>
      <c r="F231" s="1145" t="s">
        <v>93</v>
      </c>
      <c r="G231" s="1145"/>
      <c r="H231" s="1145"/>
      <c r="I231" s="1146"/>
      <c r="J231" s="1501" t="s">
        <v>94</v>
      </c>
      <c r="K231" s="1501" t="s">
        <v>35</v>
      </c>
      <c r="L231" s="1147" t="s">
        <v>95</v>
      </c>
      <c r="M231" s="1465" t="s">
        <v>86</v>
      </c>
    </row>
    <row r="232" spans="1:13" x14ac:dyDescent="0.2">
      <c r="A232" s="1498" t="s">
        <v>620</v>
      </c>
      <c r="B232" s="1502"/>
      <c r="C232" s="1748" t="s">
        <v>1687</v>
      </c>
      <c r="D232" s="1749"/>
      <c r="E232" s="1749"/>
      <c r="F232" s="1749"/>
      <c r="G232" s="1749"/>
      <c r="H232" s="1749"/>
      <c r="I232" s="1750"/>
      <c r="J232" s="1464" t="s">
        <v>236</v>
      </c>
      <c r="K232" s="668">
        <v>1</v>
      </c>
      <c r="L232" s="1538">
        <v>16.899999999999999</v>
      </c>
      <c r="M232" s="1537">
        <f>ROUND(L232*K232,2)</f>
        <v>16.899999999999999</v>
      </c>
    </row>
    <row r="233" spans="1:13" x14ac:dyDescent="0.2">
      <c r="A233" s="1498" t="s">
        <v>621</v>
      </c>
      <c r="B233" s="1502" t="s">
        <v>1654</v>
      </c>
      <c r="C233" s="1748" t="s">
        <v>221</v>
      </c>
      <c r="D233" s="1749"/>
      <c r="E233" s="1749"/>
      <c r="F233" s="1749"/>
      <c r="G233" s="1749"/>
      <c r="H233" s="1749"/>
      <c r="I233" s="1750"/>
      <c r="J233" s="1278" t="s">
        <v>217</v>
      </c>
      <c r="K233" s="603">
        <v>0.3</v>
      </c>
      <c r="L233" s="1538">
        <v>17.350000000000001</v>
      </c>
      <c r="M233" s="1537">
        <f>ROUND(L233*K233,2)</f>
        <v>5.21</v>
      </c>
    </row>
    <row r="234" spans="1:13" x14ac:dyDescent="0.2">
      <c r="A234" s="1498" t="s">
        <v>621</v>
      </c>
      <c r="B234" s="1502" t="s">
        <v>1653</v>
      </c>
      <c r="C234" s="1748" t="s">
        <v>222</v>
      </c>
      <c r="D234" s="1749"/>
      <c r="E234" s="1749"/>
      <c r="F234" s="1749"/>
      <c r="G234" s="1749"/>
      <c r="H234" s="1749"/>
      <c r="I234" s="1750"/>
      <c r="J234" s="604" t="s">
        <v>217</v>
      </c>
      <c r="K234" s="603">
        <v>0.7</v>
      </c>
      <c r="L234" s="1538">
        <v>21.5</v>
      </c>
      <c r="M234" s="1537">
        <f>ROUND(L234*K234,2)</f>
        <v>15.05</v>
      </c>
    </row>
    <row r="235" spans="1:13" x14ac:dyDescent="0.2">
      <c r="A235" s="600"/>
      <c r="B235" s="665"/>
      <c r="C235" s="1767" t="s">
        <v>1171</v>
      </c>
      <c r="D235" s="1768"/>
      <c r="E235" s="1768"/>
      <c r="F235" s="1768"/>
      <c r="G235" s="1768"/>
      <c r="H235" s="1768"/>
      <c r="I235" s="1768"/>
      <c r="J235" s="1737"/>
      <c r="K235" s="1497"/>
      <c r="L235" s="161"/>
      <c r="M235" s="1154">
        <f>ROUND(SUM(M232:M234),2)</f>
        <v>37.159999999999997</v>
      </c>
    </row>
    <row r="237" spans="1:13" x14ac:dyDescent="0.2">
      <c r="A237" s="1496" t="s">
        <v>375</v>
      </c>
      <c r="B237" s="1497"/>
      <c r="C237" s="1730" t="s">
        <v>131</v>
      </c>
      <c r="D237" s="1725"/>
      <c r="E237" s="1725"/>
      <c r="F237" s="1725"/>
      <c r="G237" s="1725"/>
      <c r="H237" s="1725"/>
      <c r="I237" s="1725"/>
      <c r="J237" s="1725"/>
      <c r="K237" s="1725"/>
      <c r="L237" s="1725"/>
      <c r="M237" s="1726"/>
    </row>
    <row r="238" spans="1:13" x14ac:dyDescent="0.2">
      <c r="A238" s="1462" t="str">
        <f>ORÇ!A202</f>
        <v>11.9.3</v>
      </c>
      <c r="B238" s="1463"/>
      <c r="C238" s="1721" t="s">
        <v>1686</v>
      </c>
      <c r="D238" s="1722"/>
      <c r="E238" s="1722"/>
      <c r="F238" s="1722"/>
      <c r="G238" s="1722"/>
      <c r="H238" s="1722"/>
      <c r="I238" s="1722"/>
      <c r="J238" s="1722"/>
      <c r="K238" s="1723"/>
      <c r="L238" s="1147" t="s">
        <v>1173</v>
      </c>
      <c r="M238" s="1464" t="s">
        <v>236</v>
      </c>
    </row>
    <row r="239" spans="1:13" x14ac:dyDescent="0.2">
      <c r="A239" s="1724" t="s">
        <v>428</v>
      </c>
      <c r="B239" s="1725"/>
      <c r="C239" s="1725"/>
      <c r="D239" s="1725"/>
      <c r="E239" s="1725"/>
      <c r="F239" s="1725"/>
      <c r="G239" s="1725"/>
      <c r="H239" s="1725"/>
      <c r="I239" s="1725"/>
      <c r="J239" s="1725"/>
      <c r="K239" s="1725"/>
      <c r="L239" s="1725"/>
      <c r="M239" s="1726"/>
    </row>
    <row r="240" spans="1:13" x14ac:dyDescent="0.2">
      <c r="A240" s="666" t="s">
        <v>281</v>
      </c>
      <c r="B240" s="1501" t="s">
        <v>92</v>
      </c>
      <c r="C240" s="1145"/>
      <c r="D240" s="1145"/>
      <c r="E240" s="1145"/>
      <c r="F240" s="1145" t="s">
        <v>93</v>
      </c>
      <c r="G240" s="1145"/>
      <c r="H240" s="1145"/>
      <c r="I240" s="1146"/>
      <c r="J240" s="1501" t="s">
        <v>94</v>
      </c>
      <c r="K240" s="1501" t="s">
        <v>35</v>
      </c>
      <c r="L240" s="1147" t="s">
        <v>95</v>
      </c>
      <c r="M240" s="1465" t="s">
        <v>86</v>
      </c>
    </row>
    <row r="241" spans="1:13" x14ac:dyDescent="0.2">
      <c r="A241" s="1498" t="s">
        <v>620</v>
      </c>
      <c r="B241" s="1502"/>
      <c r="C241" s="1748" t="s">
        <v>1685</v>
      </c>
      <c r="D241" s="1749"/>
      <c r="E241" s="1749"/>
      <c r="F241" s="1749"/>
      <c r="G241" s="1749"/>
      <c r="H241" s="1749"/>
      <c r="I241" s="1750"/>
      <c r="J241" s="1464" t="s">
        <v>236</v>
      </c>
      <c r="K241" s="668">
        <v>1</v>
      </c>
      <c r="L241" s="1538">
        <v>22.99</v>
      </c>
      <c r="M241" s="1537">
        <f>ROUND(L241*K241,2)</f>
        <v>22.99</v>
      </c>
    </row>
    <row r="242" spans="1:13" x14ac:dyDescent="0.2">
      <c r="A242" s="1498" t="s">
        <v>621</v>
      </c>
      <c r="B242" s="1502" t="s">
        <v>1654</v>
      </c>
      <c r="C242" s="1748" t="s">
        <v>221</v>
      </c>
      <c r="D242" s="1749"/>
      <c r="E242" s="1749"/>
      <c r="F242" s="1749"/>
      <c r="G242" s="1749"/>
      <c r="H242" s="1749"/>
      <c r="I242" s="1750"/>
      <c r="J242" s="1278" t="s">
        <v>217</v>
      </c>
      <c r="K242" s="603">
        <v>0.1</v>
      </c>
      <c r="L242" s="1538">
        <v>17.350000000000001</v>
      </c>
      <c r="M242" s="1537">
        <f>ROUND(L242*K242,2)</f>
        <v>1.74</v>
      </c>
    </row>
    <row r="243" spans="1:13" x14ac:dyDescent="0.2">
      <c r="A243" s="1498" t="s">
        <v>621</v>
      </c>
      <c r="B243" s="1502" t="s">
        <v>1653</v>
      </c>
      <c r="C243" s="1748" t="s">
        <v>222</v>
      </c>
      <c r="D243" s="1749"/>
      <c r="E243" s="1749"/>
      <c r="F243" s="1749"/>
      <c r="G243" s="1749"/>
      <c r="H243" s="1749"/>
      <c r="I243" s="1750"/>
      <c r="J243" s="604" t="s">
        <v>217</v>
      </c>
      <c r="K243" s="603">
        <v>0.15</v>
      </c>
      <c r="L243" s="1538">
        <v>21.5</v>
      </c>
      <c r="M243" s="1537">
        <f>ROUND(L243*K243,2)</f>
        <v>3.23</v>
      </c>
    </row>
    <row r="244" spans="1:13" x14ac:dyDescent="0.2">
      <c r="A244" s="600"/>
      <c r="B244" s="665"/>
      <c r="C244" s="1767" t="s">
        <v>1171</v>
      </c>
      <c r="D244" s="1768"/>
      <c r="E244" s="1768"/>
      <c r="F244" s="1768"/>
      <c r="G244" s="1768"/>
      <c r="H244" s="1768"/>
      <c r="I244" s="1768"/>
      <c r="J244" s="1737"/>
      <c r="K244" s="1497"/>
      <c r="L244" s="161"/>
      <c r="M244" s="1154">
        <f>ROUND(SUM(M241:M243),2)</f>
        <v>27.96</v>
      </c>
    </row>
    <row r="246" spans="1:13" x14ac:dyDescent="0.2">
      <c r="A246" s="1496" t="s">
        <v>375</v>
      </c>
      <c r="B246" s="1497"/>
      <c r="C246" s="1730" t="s">
        <v>131</v>
      </c>
      <c r="D246" s="1725"/>
      <c r="E246" s="1725"/>
      <c r="F246" s="1725"/>
      <c r="G246" s="1725"/>
      <c r="H246" s="1725"/>
      <c r="I246" s="1725"/>
      <c r="J246" s="1725"/>
      <c r="K246" s="1725"/>
      <c r="L246" s="1725"/>
      <c r="M246" s="1726"/>
    </row>
    <row r="247" spans="1:13" x14ac:dyDescent="0.2">
      <c r="A247" s="1462" t="str">
        <f>ORÇ!A203</f>
        <v>11.9.4</v>
      </c>
      <c r="B247" s="1463"/>
      <c r="C247" s="1721" t="s">
        <v>1684</v>
      </c>
      <c r="D247" s="1722"/>
      <c r="E247" s="1722"/>
      <c r="F247" s="1722"/>
      <c r="G247" s="1722"/>
      <c r="H247" s="1722"/>
      <c r="I247" s="1722"/>
      <c r="J247" s="1722"/>
      <c r="K247" s="1723"/>
      <c r="L247" s="1147" t="s">
        <v>1173</v>
      </c>
      <c r="M247" s="1464" t="s">
        <v>236</v>
      </c>
    </row>
    <row r="248" spans="1:13" x14ac:dyDescent="0.2">
      <c r="A248" s="1724" t="s">
        <v>429</v>
      </c>
      <c r="B248" s="1725"/>
      <c r="C248" s="1725"/>
      <c r="D248" s="1725"/>
      <c r="E248" s="1725"/>
      <c r="F248" s="1725"/>
      <c r="G248" s="1725"/>
      <c r="H248" s="1725"/>
      <c r="I248" s="1725"/>
      <c r="J248" s="1725"/>
      <c r="K248" s="1725"/>
      <c r="L248" s="1725"/>
      <c r="M248" s="1726"/>
    </row>
    <row r="249" spans="1:13" x14ac:dyDescent="0.2">
      <c r="A249" s="666" t="s">
        <v>281</v>
      </c>
      <c r="B249" s="1501" t="s">
        <v>92</v>
      </c>
      <c r="C249" s="1145"/>
      <c r="D249" s="1145"/>
      <c r="E249" s="1145"/>
      <c r="F249" s="1145" t="s">
        <v>93</v>
      </c>
      <c r="G249" s="1145"/>
      <c r="H249" s="1145"/>
      <c r="I249" s="1146"/>
      <c r="J249" s="1501" t="s">
        <v>94</v>
      </c>
      <c r="K249" s="1501" t="s">
        <v>35</v>
      </c>
      <c r="L249" s="1147" t="s">
        <v>95</v>
      </c>
      <c r="M249" s="1465" t="s">
        <v>86</v>
      </c>
    </row>
    <row r="250" spans="1:13" x14ac:dyDescent="0.2">
      <c r="A250" s="1498" t="s">
        <v>620</v>
      </c>
      <c r="B250" s="1502"/>
      <c r="C250" s="1748" t="s">
        <v>1683</v>
      </c>
      <c r="D250" s="1749"/>
      <c r="E250" s="1749"/>
      <c r="F250" s="1749"/>
      <c r="G250" s="1749"/>
      <c r="H250" s="1749"/>
      <c r="I250" s="1750"/>
      <c r="J250" s="1464" t="s">
        <v>236</v>
      </c>
      <c r="K250" s="668">
        <v>1</v>
      </c>
      <c r="L250" s="1538">
        <v>6.36</v>
      </c>
      <c r="M250" s="1537">
        <f>ROUND(L250*K250,2)</f>
        <v>6.36</v>
      </c>
    </row>
    <row r="251" spans="1:13" x14ac:dyDescent="0.2">
      <c r="A251" s="1498" t="s">
        <v>621</v>
      </c>
      <c r="B251" s="1502" t="s">
        <v>1654</v>
      </c>
      <c r="C251" s="1748" t="s">
        <v>221</v>
      </c>
      <c r="D251" s="1749"/>
      <c r="E251" s="1749"/>
      <c r="F251" s="1749"/>
      <c r="G251" s="1749"/>
      <c r="H251" s="1749"/>
      <c r="I251" s="1750"/>
      <c r="J251" s="1278" t="s">
        <v>217</v>
      </c>
      <c r="K251" s="603">
        <v>0.05</v>
      </c>
      <c r="L251" s="1538">
        <v>17.350000000000001</v>
      </c>
      <c r="M251" s="1537">
        <f>ROUND(L251*K251,2)</f>
        <v>0.87</v>
      </c>
    </row>
    <row r="252" spans="1:13" x14ac:dyDescent="0.2">
      <c r="A252" s="1498" t="s">
        <v>621</v>
      </c>
      <c r="B252" s="1502" t="s">
        <v>1653</v>
      </c>
      <c r="C252" s="1748" t="s">
        <v>222</v>
      </c>
      <c r="D252" s="1749"/>
      <c r="E252" s="1749"/>
      <c r="F252" s="1749"/>
      <c r="G252" s="1749"/>
      <c r="H252" s="1749"/>
      <c r="I252" s="1750"/>
      <c r="J252" s="604" t="s">
        <v>217</v>
      </c>
      <c r="K252" s="603">
        <v>0.1</v>
      </c>
      <c r="L252" s="1538">
        <v>21.5</v>
      </c>
      <c r="M252" s="1537">
        <f>ROUND(L252*K252,2)</f>
        <v>2.15</v>
      </c>
    </row>
    <row r="253" spans="1:13" x14ac:dyDescent="0.2">
      <c r="A253" s="600"/>
      <c r="B253" s="665"/>
      <c r="C253" s="1767" t="s">
        <v>1171</v>
      </c>
      <c r="D253" s="1768"/>
      <c r="E253" s="1768"/>
      <c r="F253" s="1768"/>
      <c r="G253" s="1768"/>
      <c r="H253" s="1768"/>
      <c r="I253" s="1768"/>
      <c r="J253" s="1737"/>
      <c r="K253" s="1497"/>
      <c r="L253" s="161"/>
      <c r="M253" s="1154">
        <f>ROUND(SUM(M250:M252),2)</f>
        <v>9.3800000000000008</v>
      </c>
    </row>
    <row r="255" spans="1:13" x14ac:dyDescent="0.2">
      <c r="A255" s="1496" t="s">
        <v>375</v>
      </c>
      <c r="B255" s="1497"/>
      <c r="C255" s="1730" t="s">
        <v>131</v>
      </c>
      <c r="D255" s="1725"/>
      <c r="E255" s="1725"/>
      <c r="F255" s="1725"/>
      <c r="G255" s="1725"/>
      <c r="H255" s="1725"/>
      <c r="I255" s="1725"/>
      <c r="J255" s="1725"/>
      <c r="K255" s="1725"/>
      <c r="L255" s="1725"/>
      <c r="M255" s="1726"/>
    </row>
    <row r="256" spans="1:13" x14ac:dyDescent="0.2">
      <c r="A256" s="1462" t="str">
        <f>ORÇ!A204</f>
        <v>11.9.5</v>
      </c>
      <c r="B256" s="1463"/>
      <c r="C256" s="1721" t="s">
        <v>1682</v>
      </c>
      <c r="D256" s="1722"/>
      <c r="E256" s="1722"/>
      <c r="F256" s="1722"/>
      <c r="G256" s="1722"/>
      <c r="H256" s="1722"/>
      <c r="I256" s="1722"/>
      <c r="J256" s="1722"/>
      <c r="K256" s="1723"/>
      <c r="L256" s="1147" t="s">
        <v>1173</v>
      </c>
      <c r="M256" s="1464" t="s">
        <v>236</v>
      </c>
    </row>
    <row r="257" spans="1:13" x14ac:dyDescent="0.2">
      <c r="A257" s="1724" t="s">
        <v>539</v>
      </c>
      <c r="B257" s="1725"/>
      <c r="C257" s="1725"/>
      <c r="D257" s="1725"/>
      <c r="E257" s="1725"/>
      <c r="F257" s="1725"/>
      <c r="G257" s="1725"/>
      <c r="H257" s="1725"/>
      <c r="I257" s="1725"/>
      <c r="J257" s="1725"/>
      <c r="K257" s="1725"/>
      <c r="L257" s="1725"/>
      <c r="M257" s="1726"/>
    </row>
    <row r="258" spans="1:13" x14ac:dyDescent="0.2">
      <c r="A258" s="666" t="s">
        <v>281</v>
      </c>
      <c r="B258" s="1501" t="s">
        <v>92</v>
      </c>
      <c r="C258" s="1145"/>
      <c r="D258" s="1145"/>
      <c r="E258" s="1145"/>
      <c r="F258" s="1145" t="s">
        <v>93</v>
      </c>
      <c r="G258" s="1145"/>
      <c r="H258" s="1145"/>
      <c r="I258" s="1146"/>
      <c r="J258" s="1501" t="s">
        <v>94</v>
      </c>
      <c r="K258" s="1501" t="s">
        <v>35</v>
      </c>
      <c r="L258" s="1147" t="s">
        <v>95</v>
      </c>
      <c r="M258" s="1465" t="s">
        <v>86</v>
      </c>
    </row>
    <row r="259" spans="1:13" x14ac:dyDescent="0.2">
      <c r="A259" s="1498" t="s">
        <v>620</v>
      </c>
      <c r="B259" s="1502"/>
      <c r="C259" s="1748" t="s">
        <v>1681</v>
      </c>
      <c r="D259" s="1749"/>
      <c r="E259" s="1749"/>
      <c r="F259" s="1749"/>
      <c r="G259" s="1749"/>
      <c r="H259" s="1749"/>
      <c r="I259" s="1750"/>
      <c r="J259" s="1464" t="s">
        <v>236</v>
      </c>
      <c r="K259" s="668">
        <v>1</v>
      </c>
      <c r="L259" s="1538">
        <v>28.61</v>
      </c>
      <c r="M259" s="1537">
        <f>ROUND(L259*K259,2)</f>
        <v>28.61</v>
      </c>
    </row>
    <row r="260" spans="1:13" x14ac:dyDescent="0.2">
      <c r="A260" s="1498" t="s">
        <v>621</v>
      </c>
      <c r="B260" s="1502" t="s">
        <v>1654</v>
      </c>
      <c r="C260" s="1748" t="s">
        <v>221</v>
      </c>
      <c r="D260" s="1749"/>
      <c r="E260" s="1749"/>
      <c r="F260" s="1749"/>
      <c r="G260" s="1749"/>
      <c r="H260" s="1749"/>
      <c r="I260" s="1750"/>
      <c r="J260" s="1278" t="s">
        <v>217</v>
      </c>
      <c r="K260" s="603">
        <v>0.05</v>
      </c>
      <c r="L260" s="1538">
        <v>17.350000000000001</v>
      </c>
      <c r="M260" s="1537">
        <f>ROUND(L260*K260,2)</f>
        <v>0.87</v>
      </c>
    </row>
    <row r="261" spans="1:13" x14ac:dyDescent="0.2">
      <c r="A261" s="1498" t="s">
        <v>621</v>
      </c>
      <c r="B261" s="1502" t="s">
        <v>1653</v>
      </c>
      <c r="C261" s="1748" t="s">
        <v>222</v>
      </c>
      <c r="D261" s="1749"/>
      <c r="E261" s="1749"/>
      <c r="F261" s="1749"/>
      <c r="G261" s="1749"/>
      <c r="H261" s="1749"/>
      <c r="I261" s="1750"/>
      <c r="J261" s="604" t="s">
        <v>217</v>
      </c>
      <c r="K261" s="603">
        <v>0.1</v>
      </c>
      <c r="L261" s="1538">
        <v>21.5</v>
      </c>
      <c r="M261" s="1537">
        <f>ROUND(L261*K261,2)</f>
        <v>2.15</v>
      </c>
    </row>
    <row r="262" spans="1:13" x14ac:dyDescent="0.2">
      <c r="A262" s="600"/>
      <c r="B262" s="665"/>
      <c r="C262" s="1767" t="s">
        <v>1171</v>
      </c>
      <c r="D262" s="1768"/>
      <c r="E262" s="1768"/>
      <c r="F262" s="1768"/>
      <c r="G262" s="1768"/>
      <c r="H262" s="1768"/>
      <c r="I262" s="1768"/>
      <c r="J262" s="1737"/>
      <c r="K262" s="1497"/>
      <c r="L262" s="161"/>
      <c r="M262" s="1154">
        <f>ROUND(SUM(M259:M261),2)</f>
        <v>31.63</v>
      </c>
    </row>
    <row r="264" spans="1:13" x14ac:dyDescent="0.2">
      <c r="A264" s="1496" t="s">
        <v>375</v>
      </c>
      <c r="B264" s="1497"/>
      <c r="C264" s="1730" t="s">
        <v>131</v>
      </c>
      <c r="D264" s="1725"/>
      <c r="E264" s="1725"/>
      <c r="F264" s="1725"/>
      <c r="G264" s="1725"/>
      <c r="H264" s="1725"/>
      <c r="I264" s="1725"/>
      <c r="J264" s="1725"/>
      <c r="K264" s="1725"/>
      <c r="L264" s="1725"/>
      <c r="M264" s="1726"/>
    </row>
    <row r="265" spans="1:13" x14ac:dyDescent="0.2">
      <c r="A265" s="1462" t="str">
        <f>ORÇ!A205</f>
        <v>11.9.6</v>
      </c>
      <c r="B265" s="1463"/>
      <c r="C265" s="1721" t="s">
        <v>1680</v>
      </c>
      <c r="D265" s="1722"/>
      <c r="E265" s="1722"/>
      <c r="F265" s="1722"/>
      <c r="G265" s="1722"/>
      <c r="H265" s="1722"/>
      <c r="I265" s="1722"/>
      <c r="J265" s="1722"/>
      <c r="K265" s="1723"/>
      <c r="L265" s="1147" t="s">
        <v>1173</v>
      </c>
      <c r="M265" s="1464" t="s">
        <v>236</v>
      </c>
    </row>
    <row r="266" spans="1:13" x14ac:dyDescent="0.2">
      <c r="A266" s="1724" t="s">
        <v>540</v>
      </c>
      <c r="B266" s="1725"/>
      <c r="C266" s="1725"/>
      <c r="D266" s="1725"/>
      <c r="E266" s="1725"/>
      <c r="F266" s="1725"/>
      <c r="G266" s="1725"/>
      <c r="H266" s="1725"/>
      <c r="I266" s="1725"/>
      <c r="J266" s="1725"/>
      <c r="K266" s="1725"/>
      <c r="L266" s="1725"/>
      <c r="M266" s="1726"/>
    </row>
    <row r="267" spans="1:13" x14ac:dyDescent="0.2">
      <c r="A267" s="666" t="s">
        <v>281</v>
      </c>
      <c r="B267" s="1501" t="s">
        <v>92</v>
      </c>
      <c r="C267" s="1145"/>
      <c r="D267" s="1145"/>
      <c r="E267" s="1145"/>
      <c r="F267" s="1145" t="s">
        <v>93</v>
      </c>
      <c r="G267" s="1145"/>
      <c r="H267" s="1145"/>
      <c r="I267" s="1146"/>
      <c r="J267" s="1501" t="s">
        <v>94</v>
      </c>
      <c r="K267" s="1501" t="s">
        <v>35</v>
      </c>
      <c r="L267" s="1147" t="s">
        <v>95</v>
      </c>
      <c r="M267" s="1465" t="s">
        <v>86</v>
      </c>
    </row>
    <row r="268" spans="1:13" x14ac:dyDescent="0.2">
      <c r="A268" s="1498" t="s">
        <v>620</v>
      </c>
      <c r="B268" s="1502"/>
      <c r="C268" s="1748" t="s">
        <v>1679</v>
      </c>
      <c r="D268" s="1749"/>
      <c r="E268" s="1749"/>
      <c r="F268" s="1749"/>
      <c r="G268" s="1749"/>
      <c r="H268" s="1749"/>
      <c r="I268" s="1750"/>
      <c r="J268" s="1464" t="s">
        <v>236</v>
      </c>
      <c r="K268" s="668">
        <v>1</v>
      </c>
      <c r="L268" s="1538">
        <v>27</v>
      </c>
      <c r="M268" s="1537">
        <f>ROUND(L268*K268,2)</f>
        <v>27</v>
      </c>
    </row>
    <row r="269" spans="1:13" x14ac:dyDescent="0.2">
      <c r="A269" s="1498" t="s">
        <v>621</v>
      </c>
      <c r="B269" s="1502" t="s">
        <v>1654</v>
      </c>
      <c r="C269" s="1748" t="s">
        <v>221</v>
      </c>
      <c r="D269" s="1749"/>
      <c r="E269" s="1749"/>
      <c r="F269" s="1749"/>
      <c r="G269" s="1749"/>
      <c r="H269" s="1749"/>
      <c r="I269" s="1750"/>
      <c r="J269" s="1278" t="s">
        <v>217</v>
      </c>
      <c r="K269" s="603">
        <v>0.05</v>
      </c>
      <c r="L269" s="1538">
        <v>17.350000000000001</v>
      </c>
      <c r="M269" s="1537">
        <f>ROUND(L269*K269,2)</f>
        <v>0.87</v>
      </c>
    </row>
    <row r="270" spans="1:13" x14ac:dyDescent="0.2">
      <c r="A270" s="1498" t="s">
        <v>621</v>
      </c>
      <c r="B270" s="1502" t="s">
        <v>1653</v>
      </c>
      <c r="C270" s="1748" t="s">
        <v>222</v>
      </c>
      <c r="D270" s="1749"/>
      <c r="E270" s="1749"/>
      <c r="F270" s="1749"/>
      <c r="G270" s="1749"/>
      <c r="H270" s="1749"/>
      <c r="I270" s="1750"/>
      <c r="J270" s="604" t="s">
        <v>217</v>
      </c>
      <c r="K270" s="603">
        <v>0.1</v>
      </c>
      <c r="L270" s="1538">
        <v>21.5</v>
      </c>
      <c r="M270" s="1537">
        <f>ROUND(L270*K270,2)</f>
        <v>2.15</v>
      </c>
    </row>
    <row r="271" spans="1:13" x14ac:dyDescent="0.2">
      <c r="A271" s="600"/>
      <c r="B271" s="665"/>
      <c r="C271" s="1767" t="s">
        <v>1171</v>
      </c>
      <c r="D271" s="1768"/>
      <c r="E271" s="1768"/>
      <c r="F271" s="1768"/>
      <c r="G271" s="1768"/>
      <c r="H271" s="1768"/>
      <c r="I271" s="1768"/>
      <c r="J271" s="1737"/>
      <c r="K271" s="1497"/>
      <c r="L271" s="161"/>
      <c r="M271" s="1154">
        <f>ROUND(SUM(M268:M270),2)</f>
        <v>30.02</v>
      </c>
    </row>
    <row r="273" spans="1:13" x14ac:dyDescent="0.2">
      <c r="A273" s="1496" t="s">
        <v>375</v>
      </c>
      <c r="B273" s="1497"/>
      <c r="C273" s="1730" t="s">
        <v>131</v>
      </c>
      <c r="D273" s="1725"/>
      <c r="E273" s="1725"/>
      <c r="F273" s="1725"/>
      <c r="G273" s="1725"/>
      <c r="H273" s="1725"/>
      <c r="I273" s="1725"/>
      <c r="J273" s="1725"/>
      <c r="K273" s="1725"/>
      <c r="L273" s="1725"/>
      <c r="M273" s="1726"/>
    </row>
    <row r="274" spans="1:13" x14ac:dyDescent="0.2">
      <c r="A274" s="1462" t="str">
        <f>ORÇ!A210</f>
        <v>11.9.11</v>
      </c>
      <c r="B274" s="1463"/>
      <c r="C274" s="1721" t="s">
        <v>1678</v>
      </c>
      <c r="D274" s="1722"/>
      <c r="E274" s="1722"/>
      <c r="F274" s="1722"/>
      <c r="G274" s="1722"/>
      <c r="H274" s="1722"/>
      <c r="I274" s="1722"/>
      <c r="J274" s="1722"/>
      <c r="K274" s="1723"/>
      <c r="L274" s="1147" t="s">
        <v>1173</v>
      </c>
      <c r="M274" s="1464" t="s">
        <v>236</v>
      </c>
    </row>
    <row r="275" spans="1:13" x14ac:dyDescent="0.2">
      <c r="A275" s="1724" t="s">
        <v>541</v>
      </c>
      <c r="B275" s="1725"/>
      <c r="C275" s="1725"/>
      <c r="D275" s="1725"/>
      <c r="E275" s="1725"/>
      <c r="F275" s="1725"/>
      <c r="G275" s="1725"/>
      <c r="H275" s="1725"/>
      <c r="I275" s="1725"/>
      <c r="J275" s="1725"/>
      <c r="K275" s="1725"/>
      <c r="L275" s="1725"/>
      <c r="M275" s="1726"/>
    </row>
    <row r="276" spans="1:13" x14ac:dyDescent="0.2">
      <c r="A276" s="666" t="s">
        <v>281</v>
      </c>
      <c r="B276" s="1501" t="s">
        <v>92</v>
      </c>
      <c r="C276" s="1145"/>
      <c r="D276" s="1145"/>
      <c r="E276" s="1145"/>
      <c r="F276" s="1145" t="s">
        <v>93</v>
      </c>
      <c r="G276" s="1145"/>
      <c r="H276" s="1145"/>
      <c r="I276" s="1146"/>
      <c r="J276" s="1501" t="s">
        <v>94</v>
      </c>
      <c r="K276" s="1501" t="s">
        <v>35</v>
      </c>
      <c r="L276" s="1147" t="s">
        <v>95</v>
      </c>
      <c r="M276" s="1465" t="s">
        <v>86</v>
      </c>
    </row>
    <row r="277" spans="1:13" x14ac:dyDescent="0.2">
      <c r="A277" s="1498" t="s">
        <v>620</v>
      </c>
      <c r="B277" s="1502"/>
      <c r="C277" s="1748" t="s">
        <v>1677</v>
      </c>
      <c r="D277" s="1749"/>
      <c r="E277" s="1749"/>
      <c r="F277" s="1749"/>
      <c r="G277" s="1749"/>
      <c r="H277" s="1749"/>
      <c r="I277" s="1750"/>
      <c r="J277" s="1464" t="s">
        <v>236</v>
      </c>
      <c r="K277" s="668">
        <v>1</v>
      </c>
      <c r="L277" s="1538">
        <v>4.05</v>
      </c>
      <c r="M277" s="1537">
        <f>ROUND(L277*K277,2)</f>
        <v>4.05</v>
      </c>
    </row>
    <row r="278" spans="1:13" x14ac:dyDescent="0.2">
      <c r="A278" s="1498" t="s">
        <v>621</v>
      </c>
      <c r="B278" s="1502" t="s">
        <v>1654</v>
      </c>
      <c r="C278" s="1748" t="s">
        <v>221</v>
      </c>
      <c r="D278" s="1749"/>
      <c r="E278" s="1749"/>
      <c r="F278" s="1749"/>
      <c r="G278" s="1749"/>
      <c r="H278" s="1749"/>
      <c r="I278" s="1750"/>
      <c r="J278" s="1278" t="s">
        <v>217</v>
      </c>
      <c r="K278" s="603">
        <v>0.05</v>
      </c>
      <c r="L278" s="1538">
        <v>17.350000000000001</v>
      </c>
      <c r="M278" s="1537">
        <f>ROUND(L278*K278,2)</f>
        <v>0.87</v>
      </c>
    </row>
    <row r="279" spans="1:13" x14ac:dyDescent="0.2">
      <c r="A279" s="1498" t="s">
        <v>621</v>
      </c>
      <c r="B279" s="1502" t="s">
        <v>1653</v>
      </c>
      <c r="C279" s="1748" t="s">
        <v>222</v>
      </c>
      <c r="D279" s="1749"/>
      <c r="E279" s="1749"/>
      <c r="F279" s="1749"/>
      <c r="G279" s="1749"/>
      <c r="H279" s="1749"/>
      <c r="I279" s="1750"/>
      <c r="J279" s="604" t="s">
        <v>217</v>
      </c>
      <c r="K279" s="603">
        <v>0.1</v>
      </c>
      <c r="L279" s="1538">
        <v>21.5</v>
      </c>
      <c r="M279" s="1537">
        <f>ROUND(L279*K279,2)</f>
        <v>2.15</v>
      </c>
    </row>
    <row r="280" spans="1:13" x14ac:dyDescent="0.2">
      <c r="A280" s="600"/>
      <c r="B280" s="665"/>
      <c r="C280" s="1767" t="s">
        <v>1171</v>
      </c>
      <c r="D280" s="1768"/>
      <c r="E280" s="1768"/>
      <c r="F280" s="1768"/>
      <c r="G280" s="1768"/>
      <c r="H280" s="1768"/>
      <c r="I280" s="1768"/>
      <c r="J280" s="1737"/>
      <c r="K280" s="1497"/>
      <c r="L280" s="161"/>
      <c r="M280" s="1154">
        <f>ROUND(SUM(M277:M279),2)</f>
        <v>7.07</v>
      </c>
    </row>
    <row r="282" spans="1:13" x14ac:dyDescent="0.2">
      <c r="A282" s="1496" t="s">
        <v>375</v>
      </c>
      <c r="B282" s="1497"/>
      <c r="C282" s="1730" t="s">
        <v>131</v>
      </c>
      <c r="D282" s="1725"/>
      <c r="E282" s="1725"/>
      <c r="F282" s="1725"/>
      <c r="G282" s="1725"/>
      <c r="H282" s="1725"/>
      <c r="I282" s="1725"/>
      <c r="J282" s="1725"/>
      <c r="K282" s="1725"/>
      <c r="L282" s="1725"/>
      <c r="M282" s="1726"/>
    </row>
    <row r="283" spans="1:13" x14ac:dyDescent="0.2">
      <c r="A283" s="1462" t="str">
        <f>ORÇ!A215</f>
        <v>11.10.1</v>
      </c>
      <c r="B283" s="1463"/>
      <c r="C283" s="1721" t="s">
        <v>1676</v>
      </c>
      <c r="D283" s="1722"/>
      <c r="E283" s="1722"/>
      <c r="F283" s="1722"/>
      <c r="G283" s="1722"/>
      <c r="H283" s="1722"/>
      <c r="I283" s="1722"/>
      <c r="J283" s="1722"/>
      <c r="K283" s="1723"/>
      <c r="L283" s="1147" t="s">
        <v>1173</v>
      </c>
      <c r="M283" s="1464" t="s">
        <v>214</v>
      </c>
    </row>
    <row r="284" spans="1:13" x14ac:dyDescent="0.2">
      <c r="A284" s="1724" t="s">
        <v>542</v>
      </c>
      <c r="B284" s="1725"/>
      <c r="C284" s="1725"/>
      <c r="D284" s="1725"/>
      <c r="E284" s="1725"/>
      <c r="F284" s="1725"/>
      <c r="G284" s="1725"/>
      <c r="H284" s="1725"/>
      <c r="I284" s="1725"/>
      <c r="J284" s="1725"/>
      <c r="K284" s="1725"/>
      <c r="L284" s="1725"/>
      <c r="M284" s="1726"/>
    </row>
    <row r="285" spans="1:13" x14ac:dyDescent="0.2">
      <c r="A285" s="666" t="s">
        <v>281</v>
      </c>
      <c r="B285" s="1501" t="s">
        <v>92</v>
      </c>
      <c r="C285" s="1145"/>
      <c r="D285" s="1145"/>
      <c r="E285" s="1145"/>
      <c r="F285" s="1145" t="s">
        <v>93</v>
      </c>
      <c r="G285" s="1145"/>
      <c r="H285" s="1145"/>
      <c r="I285" s="1146"/>
      <c r="J285" s="1501" t="s">
        <v>94</v>
      </c>
      <c r="K285" s="1501" t="s">
        <v>35</v>
      </c>
      <c r="L285" s="1147" t="s">
        <v>95</v>
      </c>
      <c r="M285" s="1465" t="s">
        <v>86</v>
      </c>
    </row>
    <row r="286" spans="1:13" x14ac:dyDescent="0.2">
      <c r="A286" s="1498" t="s">
        <v>620</v>
      </c>
      <c r="B286" s="1502"/>
      <c r="C286" s="1748" t="s">
        <v>1675</v>
      </c>
      <c r="D286" s="1749"/>
      <c r="E286" s="1749"/>
      <c r="F286" s="1749"/>
      <c r="G286" s="1749"/>
      <c r="H286" s="1749"/>
      <c r="I286" s="1750"/>
      <c r="J286" s="1464" t="s">
        <v>214</v>
      </c>
      <c r="K286" s="668">
        <v>1</v>
      </c>
      <c r="L286" s="1538">
        <v>19.78</v>
      </c>
      <c r="M286" s="1537">
        <f>ROUND(L286*K286,2)</f>
        <v>19.78</v>
      </c>
    </row>
    <row r="287" spans="1:13" x14ac:dyDescent="0.2">
      <c r="A287" s="1498" t="s">
        <v>621</v>
      </c>
      <c r="B287" s="1502" t="s">
        <v>1654</v>
      </c>
      <c r="C287" s="1748" t="s">
        <v>221</v>
      </c>
      <c r="D287" s="1749"/>
      <c r="E287" s="1749"/>
      <c r="F287" s="1749"/>
      <c r="G287" s="1749"/>
      <c r="H287" s="1749"/>
      <c r="I287" s="1750"/>
      <c r="J287" s="1278" t="s">
        <v>217</v>
      </c>
      <c r="K287" s="603">
        <v>0.6</v>
      </c>
      <c r="L287" s="1538">
        <v>17.350000000000001</v>
      </c>
      <c r="M287" s="1537">
        <f>ROUND(L287*K287,2)</f>
        <v>10.41</v>
      </c>
    </row>
    <row r="288" spans="1:13" x14ac:dyDescent="0.2">
      <c r="A288" s="1498" t="s">
        <v>621</v>
      </c>
      <c r="B288" s="1502" t="s">
        <v>1653</v>
      </c>
      <c r="C288" s="1748" t="s">
        <v>222</v>
      </c>
      <c r="D288" s="1749"/>
      <c r="E288" s="1749"/>
      <c r="F288" s="1749"/>
      <c r="G288" s="1749"/>
      <c r="H288" s="1749"/>
      <c r="I288" s="1750"/>
      <c r="J288" s="604" t="s">
        <v>217</v>
      </c>
      <c r="K288" s="603">
        <v>1.2</v>
      </c>
      <c r="L288" s="1538">
        <v>21.5</v>
      </c>
      <c r="M288" s="1537">
        <f>ROUND(L288*K288,2)</f>
        <v>25.8</v>
      </c>
    </row>
    <row r="289" spans="1:13" x14ac:dyDescent="0.2">
      <c r="A289" s="600"/>
      <c r="B289" s="665"/>
      <c r="C289" s="1767" t="s">
        <v>1171</v>
      </c>
      <c r="D289" s="1768"/>
      <c r="E289" s="1768"/>
      <c r="F289" s="1768"/>
      <c r="G289" s="1768"/>
      <c r="H289" s="1768"/>
      <c r="I289" s="1768"/>
      <c r="J289" s="1737"/>
      <c r="K289" s="1497"/>
      <c r="L289" s="161"/>
      <c r="M289" s="1154">
        <f>ROUND(SUM(M286:M288),2)</f>
        <v>55.99</v>
      </c>
    </row>
    <row r="291" spans="1:13" x14ac:dyDescent="0.2">
      <c r="A291" s="1496" t="s">
        <v>375</v>
      </c>
      <c r="B291" s="1497"/>
      <c r="C291" s="1730" t="s">
        <v>131</v>
      </c>
      <c r="D291" s="1725"/>
      <c r="E291" s="1725"/>
      <c r="F291" s="1725"/>
      <c r="G291" s="1725"/>
      <c r="H291" s="1725"/>
      <c r="I291" s="1725"/>
      <c r="J291" s="1725"/>
      <c r="K291" s="1725"/>
      <c r="L291" s="1725"/>
      <c r="M291" s="1726"/>
    </row>
    <row r="292" spans="1:13" x14ac:dyDescent="0.2">
      <c r="A292" s="1462" t="str">
        <f>ORÇ!A216</f>
        <v>11.10.2</v>
      </c>
      <c r="B292" s="1463"/>
      <c r="C292" s="1721" t="s">
        <v>1674</v>
      </c>
      <c r="D292" s="1722"/>
      <c r="E292" s="1722"/>
      <c r="F292" s="1722"/>
      <c r="G292" s="1722"/>
      <c r="H292" s="1722"/>
      <c r="I292" s="1722"/>
      <c r="J292" s="1722"/>
      <c r="K292" s="1723"/>
      <c r="L292" s="1147" t="s">
        <v>1173</v>
      </c>
      <c r="M292" s="1464" t="s">
        <v>214</v>
      </c>
    </row>
    <row r="293" spans="1:13" x14ac:dyDescent="0.2">
      <c r="A293" s="1724" t="s">
        <v>543</v>
      </c>
      <c r="B293" s="1725"/>
      <c r="C293" s="1725"/>
      <c r="D293" s="1725"/>
      <c r="E293" s="1725"/>
      <c r="F293" s="1725"/>
      <c r="G293" s="1725"/>
      <c r="H293" s="1725"/>
      <c r="I293" s="1725"/>
      <c r="J293" s="1725"/>
      <c r="K293" s="1725"/>
      <c r="L293" s="1725"/>
      <c r="M293" s="1726"/>
    </row>
    <row r="294" spans="1:13" x14ac:dyDescent="0.2">
      <c r="A294" s="666" t="s">
        <v>281</v>
      </c>
      <c r="B294" s="1501" t="s">
        <v>92</v>
      </c>
      <c r="C294" s="1145"/>
      <c r="D294" s="1145"/>
      <c r="E294" s="1145"/>
      <c r="F294" s="1145" t="s">
        <v>93</v>
      </c>
      <c r="G294" s="1145"/>
      <c r="H294" s="1145"/>
      <c r="I294" s="1146"/>
      <c r="J294" s="1501" t="s">
        <v>94</v>
      </c>
      <c r="K294" s="1501" t="s">
        <v>35</v>
      </c>
      <c r="L294" s="1147" t="s">
        <v>95</v>
      </c>
      <c r="M294" s="1465" t="s">
        <v>86</v>
      </c>
    </row>
    <row r="295" spans="1:13" x14ac:dyDescent="0.2">
      <c r="A295" s="1498" t="s">
        <v>620</v>
      </c>
      <c r="B295" s="1502"/>
      <c r="C295" s="1748" t="s">
        <v>1673</v>
      </c>
      <c r="D295" s="1749"/>
      <c r="E295" s="1749"/>
      <c r="F295" s="1749"/>
      <c r="G295" s="1749"/>
      <c r="H295" s="1749"/>
      <c r="I295" s="1750"/>
      <c r="J295" s="604" t="s">
        <v>214</v>
      </c>
      <c r="K295" s="668">
        <v>1</v>
      </c>
      <c r="L295" s="1538">
        <v>12.13</v>
      </c>
      <c r="M295" s="1537">
        <f>ROUND(L295*K295,2)</f>
        <v>12.13</v>
      </c>
    </row>
    <row r="296" spans="1:13" x14ac:dyDescent="0.2">
      <c r="A296" s="1498" t="s">
        <v>621</v>
      </c>
      <c r="B296" s="1502" t="s">
        <v>1654</v>
      </c>
      <c r="C296" s="1748" t="s">
        <v>221</v>
      </c>
      <c r="D296" s="1749"/>
      <c r="E296" s="1749"/>
      <c r="F296" s="1749"/>
      <c r="G296" s="1749"/>
      <c r="H296" s="1749"/>
      <c r="I296" s="1750"/>
      <c r="J296" s="1278" t="s">
        <v>217</v>
      </c>
      <c r="K296" s="603">
        <v>0.1</v>
      </c>
      <c r="L296" s="1538">
        <v>17.350000000000001</v>
      </c>
      <c r="M296" s="1537">
        <f>ROUND(L296*K296,2)</f>
        <v>1.74</v>
      </c>
    </row>
    <row r="297" spans="1:13" x14ac:dyDescent="0.2">
      <c r="A297" s="1498" t="s">
        <v>621</v>
      </c>
      <c r="B297" s="1502" t="s">
        <v>1653</v>
      </c>
      <c r="C297" s="1748" t="s">
        <v>222</v>
      </c>
      <c r="D297" s="1749"/>
      <c r="E297" s="1749"/>
      <c r="F297" s="1749"/>
      <c r="G297" s="1749"/>
      <c r="H297" s="1749"/>
      <c r="I297" s="1750"/>
      <c r="J297" s="604" t="s">
        <v>217</v>
      </c>
      <c r="K297" s="603">
        <v>0.2</v>
      </c>
      <c r="L297" s="1538">
        <v>21.5</v>
      </c>
      <c r="M297" s="1537">
        <f>ROUND(L297*K297,2)</f>
        <v>4.3</v>
      </c>
    </row>
    <row r="298" spans="1:13" x14ac:dyDescent="0.2">
      <c r="A298" s="600"/>
      <c r="B298" s="665"/>
      <c r="C298" s="1767" t="s">
        <v>1171</v>
      </c>
      <c r="D298" s="1768"/>
      <c r="E298" s="1768"/>
      <c r="F298" s="1768"/>
      <c r="G298" s="1768"/>
      <c r="H298" s="1768"/>
      <c r="I298" s="1768"/>
      <c r="J298" s="1737"/>
      <c r="K298" s="1497"/>
      <c r="L298" s="161"/>
      <c r="M298" s="1154">
        <f>ROUND(SUM(M295:M297),2)</f>
        <v>18.170000000000002</v>
      </c>
    </row>
    <row r="300" spans="1:13" x14ac:dyDescent="0.2">
      <c r="A300" s="1496" t="s">
        <v>375</v>
      </c>
      <c r="B300" s="1497"/>
      <c r="C300" s="1730" t="s">
        <v>131</v>
      </c>
      <c r="D300" s="1725"/>
      <c r="E300" s="1725"/>
      <c r="F300" s="1725"/>
      <c r="G300" s="1725"/>
      <c r="H300" s="1725"/>
      <c r="I300" s="1725"/>
      <c r="J300" s="1725"/>
      <c r="K300" s="1725"/>
      <c r="L300" s="1725"/>
      <c r="M300" s="1726"/>
    </row>
    <row r="301" spans="1:13" x14ac:dyDescent="0.2">
      <c r="A301" s="1462" t="str">
        <f>ORÇ!A217</f>
        <v>11.10.3</v>
      </c>
      <c r="B301" s="1463"/>
      <c r="C301" s="1721" t="s">
        <v>1672</v>
      </c>
      <c r="D301" s="1722"/>
      <c r="E301" s="1722"/>
      <c r="F301" s="1722"/>
      <c r="G301" s="1722"/>
      <c r="H301" s="1722"/>
      <c r="I301" s="1722"/>
      <c r="J301" s="1722"/>
      <c r="K301" s="1723"/>
      <c r="L301" s="1147" t="s">
        <v>1173</v>
      </c>
      <c r="M301" s="1464" t="s">
        <v>236</v>
      </c>
    </row>
    <row r="302" spans="1:13" x14ac:dyDescent="0.2">
      <c r="A302" s="1724" t="s">
        <v>544</v>
      </c>
      <c r="B302" s="1725"/>
      <c r="C302" s="1725"/>
      <c r="D302" s="1725"/>
      <c r="E302" s="1725"/>
      <c r="F302" s="1725"/>
      <c r="G302" s="1725"/>
      <c r="H302" s="1725"/>
      <c r="I302" s="1725"/>
      <c r="J302" s="1725"/>
      <c r="K302" s="1725"/>
      <c r="L302" s="1725"/>
      <c r="M302" s="1726"/>
    </row>
    <row r="303" spans="1:13" x14ac:dyDescent="0.2">
      <c r="A303" s="666" t="s">
        <v>281</v>
      </c>
      <c r="B303" s="1501" t="s">
        <v>92</v>
      </c>
      <c r="C303" s="1145"/>
      <c r="D303" s="1145"/>
      <c r="E303" s="1145"/>
      <c r="F303" s="1145" t="s">
        <v>93</v>
      </c>
      <c r="G303" s="1145"/>
      <c r="H303" s="1145"/>
      <c r="I303" s="1146"/>
      <c r="J303" s="1501" t="s">
        <v>94</v>
      </c>
      <c r="K303" s="1501" t="s">
        <v>35</v>
      </c>
      <c r="L303" s="1147" t="s">
        <v>95</v>
      </c>
      <c r="M303" s="1465" t="s">
        <v>86</v>
      </c>
    </row>
    <row r="304" spans="1:13" x14ac:dyDescent="0.2">
      <c r="A304" s="1498" t="s">
        <v>620</v>
      </c>
      <c r="B304" s="1502"/>
      <c r="C304" s="1748" t="s">
        <v>1671</v>
      </c>
      <c r="D304" s="1749"/>
      <c r="E304" s="1749"/>
      <c r="F304" s="1749"/>
      <c r="G304" s="1749"/>
      <c r="H304" s="1749"/>
      <c r="I304" s="1750"/>
      <c r="J304" s="604" t="s">
        <v>236</v>
      </c>
      <c r="K304" s="668">
        <v>1</v>
      </c>
      <c r="L304" s="1538">
        <v>9.6300000000000008</v>
      </c>
      <c r="M304" s="1537">
        <f>ROUND(L304*K304,2)</f>
        <v>9.6300000000000008</v>
      </c>
    </row>
    <row r="305" spans="1:13" x14ac:dyDescent="0.2">
      <c r="A305" s="1498" t="s">
        <v>621</v>
      </c>
      <c r="B305" s="1502" t="s">
        <v>1654</v>
      </c>
      <c r="C305" s="1748" t="s">
        <v>221</v>
      </c>
      <c r="D305" s="1749"/>
      <c r="E305" s="1749"/>
      <c r="F305" s="1749"/>
      <c r="G305" s="1749"/>
      <c r="H305" s="1749"/>
      <c r="I305" s="1750"/>
      <c r="J305" s="1278" t="s">
        <v>217</v>
      </c>
      <c r="K305" s="603">
        <v>0.05</v>
      </c>
      <c r="L305" s="1538">
        <v>17.350000000000001</v>
      </c>
      <c r="M305" s="1537">
        <f>ROUND(L305*K305,2)</f>
        <v>0.87</v>
      </c>
    </row>
    <row r="306" spans="1:13" x14ac:dyDescent="0.2">
      <c r="A306" s="1498" t="s">
        <v>621</v>
      </c>
      <c r="B306" s="1502" t="s">
        <v>1653</v>
      </c>
      <c r="C306" s="1748" t="s">
        <v>222</v>
      </c>
      <c r="D306" s="1749"/>
      <c r="E306" s="1749"/>
      <c r="F306" s="1749"/>
      <c r="G306" s="1749"/>
      <c r="H306" s="1749"/>
      <c r="I306" s="1750"/>
      <c r="J306" s="604" t="s">
        <v>217</v>
      </c>
      <c r="K306" s="603">
        <v>0.1</v>
      </c>
      <c r="L306" s="1538">
        <v>21.5</v>
      </c>
      <c r="M306" s="1537">
        <f>ROUND(L306*K306,2)</f>
        <v>2.15</v>
      </c>
    </row>
    <row r="307" spans="1:13" x14ac:dyDescent="0.2">
      <c r="A307" s="600"/>
      <c r="B307" s="665"/>
      <c r="C307" s="1767" t="s">
        <v>1171</v>
      </c>
      <c r="D307" s="1768"/>
      <c r="E307" s="1768"/>
      <c r="F307" s="1768"/>
      <c r="G307" s="1768"/>
      <c r="H307" s="1768"/>
      <c r="I307" s="1768"/>
      <c r="J307" s="1737"/>
      <c r="K307" s="1497"/>
      <c r="L307" s="161"/>
      <c r="M307" s="1154">
        <f>ROUND(SUM(M304:M306),2)</f>
        <v>12.65</v>
      </c>
    </row>
    <row r="309" spans="1:13" x14ac:dyDescent="0.2">
      <c r="A309" s="1496" t="s">
        <v>375</v>
      </c>
      <c r="B309" s="1497"/>
      <c r="C309" s="1730" t="s">
        <v>131</v>
      </c>
      <c r="D309" s="1725"/>
      <c r="E309" s="1725"/>
      <c r="F309" s="1725"/>
      <c r="G309" s="1725"/>
      <c r="H309" s="1725"/>
      <c r="I309" s="1725"/>
      <c r="J309" s="1725"/>
      <c r="K309" s="1725"/>
      <c r="L309" s="1725"/>
      <c r="M309" s="1726"/>
    </row>
    <row r="310" spans="1:13" x14ac:dyDescent="0.2">
      <c r="A310" s="1462" t="str">
        <f>ORÇ!A218</f>
        <v>11.10.4</v>
      </c>
      <c r="B310" s="1463"/>
      <c r="C310" s="1721" t="s">
        <v>1670</v>
      </c>
      <c r="D310" s="1722"/>
      <c r="E310" s="1722"/>
      <c r="F310" s="1722"/>
      <c r="G310" s="1722"/>
      <c r="H310" s="1722"/>
      <c r="I310" s="1722"/>
      <c r="J310" s="1722"/>
      <c r="K310" s="1723"/>
      <c r="L310" s="1147" t="s">
        <v>1173</v>
      </c>
      <c r="M310" s="1464" t="s">
        <v>236</v>
      </c>
    </row>
    <row r="311" spans="1:13" x14ac:dyDescent="0.2">
      <c r="A311" s="1724" t="s">
        <v>545</v>
      </c>
      <c r="B311" s="1725"/>
      <c r="C311" s="1725"/>
      <c r="D311" s="1725"/>
      <c r="E311" s="1725"/>
      <c r="F311" s="1725"/>
      <c r="G311" s="1725"/>
      <c r="H311" s="1725"/>
      <c r="I311" s="1725"/>
      <c r="J311" s="1725"/>
      <c r="K311" s="1725"/>
      <c r="L311" s="1725"/>
      <c r="M311" s="1726"/>
    </row>
    <row r="312" spans="1:13" x14ac:dyDescent="0.2">
      <c r="A312" s="666" t="s">
        <v>281</v>
      </c>
      <c r="B312" s="1501" t="s">
        <v>92</v>
      </c>
      <c r="C312" s="1145"/>
      <c r="D312" s="1145"/>
      <c r="E312" s="1145"/>
      <c r="F312" s="1145" t="s">
        <v>93</v>
      </c>
      <c r="G312" s="1145"/>
      <c r="H312" s="1145"/>
      <c r="I312" s="1146"/>
      <c r="J312" s="1501" t="s">
        <v>94</v>
      </c>
      <c r="K312" s="1501" t="s">
        <v>35</v>
      </c>
      <c r="L312" s="1147" t="s">
        <v>95</v>
      </c>
      <c r="M312" s="1465" t="s">
        <v>86</v>
      </c>
    </row>
    <row r="313" spans="1:13" x14ac:dyDescent="0.2">
      <c r="A313" s="1498" t="s">
        <v>620</v>
      </c>
      <c r="B313" s="1502"/>
      <c r="C313" s="1748" t="s">
        <v>1669</v>
      </c>
      <c r="D313" s="1749"/>
      <c r="E313" s="1749"/>
      <c r="F313" s="1749"/>
      <c r="G313" s="1749"/>
      <c r="H313" s="1749"/>
      <c r="I313" s="1750"/>
      <c r="J313" s="1464" t="s">
        <v>236</v>
      </c>
      <c r="K313" s="668">
        <v>1</v>
      </c>
      <c r="L313" s="1538">
        <v>54.31</v>
      </c>
      <c r="M313" s="1537">
        <f>ROUND(L313*K313,2)</f>
        <v>54.31</v>
      </c>
    </row>
    <row r="314" spans="1:13" x14ac:dyDescent="0.2">
      <c r="A314" s="1498" t="s">
        <v>621</v>
      </c>
      <c r="B314" s="1502" t="s">
        <v>1654</v>
      </c>
      <c r="C314" s="1748" t="s">
        <v>221</v>
      </c>
      <c r="D314" s="1749"/>
      <c r="E314" s="1749"/>
      <c r="F314" s="1749"/>
      <c r="G314" s="1749"/>
      <c r="H314" s="1749"/>
      <c r="I314" s="1750"/>
      <c r="J314" s="1278" t="s">
        <v>217</v>
      </c>
      <c r="K314" s="603">
        <v>0.15</v>
      </c>
      <c r="L314" s="1538">
        <v>17.350000000000001</v>
      </c>
      <c r="M314" s="1537">
        <f>ROUND(L314*K314,2)</f>
        <v>2.6</v>
      </c>
    </row>
    <row r="315" spans="1:13" x14ac:dyDescent="0.2">
      <c r="A315" s="1498" t="s">
        <v>621</v>
      </c>
      <c r="B315" s="1502" t="s">
        <v>1653</v>
      </c>
      <c r="C315" s="1748" t="s">
        <v>222</v>
      </c>
      <c r="D315" s="1749"/>
      <c r="E315" s="1749"/>
      <c r="F315" s="1749"/>
      <c r="G315" s="1749"/>
      <c r="H315" s="1749"/>
      <c r="I315" s="1750"/>
      <c r="J315" s="604" t="s">
        <v>217</v>
      </c>
      <c r="K315" s="603">
        <v>0.2</v>
      </c>
      <c r="L315" s="1538">
        <v>21.5</v>
      </c>
      <c r="M315" s="1537">
        <f>ROUND(L315*K315,2)</f>
        <v>4.3</v>
      </c>
    </row>
    <row r="316" spans="1:13" x14ac:dyDescent="0.2">
      <c r="A316" s="600"/>
      <c r="B316" s="665"/>
      <c r="C316" s="1767" t="s">
        <v>1171</v>
      </c>
      <c r="D316" s="1768"/>
      <c r="E316" s="1768"/>
      <c r="F316" s="1768"/>
      <c r="G316" s="1768"/>
      <c r="H316" s="1768"/>
      <c r="I316" s="1768"/>
      <c r="J316" s="1737"/>
      <c r="K316" s="1497"/>
      <c r="L316" s="161"/>
      <c r="M316" s="1154">
        <f>ROUND(SUM(M313:M315),2)</f>
        <v>61.21</v>
      </c>
    </row>
    <row r="318" spans="1:13" x14ac:dyDescent="0.2">
      <c r="A318" s="1496" t="s">
        <v>375</v>
      </c>
      <c r="B318" s="1497"/>
      <c r="C318" s="1730" t="s">
        <v>131</v>
      </c>
      <c r="D318" s="1725"/>
      <c r="E318" s="1725"/>
      <c r="F318" s="1725"/>
      <c r="G318" s="1725"/>
      <c r="H318" s="1725"/>
      <c r="I318" s="1725"/>
      <c r="J318" s="1725"/>
      <c r="K318" s="1725"/>
      <c r="L318" s="1725"/>
      <c r="M318" s="1726"/>
    </row>
    <row r="319" spans="1:13" x14ac:dyDescent="0.2">
      <c r="A319" s="1462" t="str">
        <f>ORÇ!A219</f>
        <v>11.10.5</v>
      </c>
      <c r="B319" s="1463"/>
      <c r="C319" s="1721" t="s">
        <v>1668</v>
      </c>
      <c r="D319" s="1722"/>
      <c r="E319" s="1722"/>
      <c r="F319" s="1722"/>
      <c r="G319" s="1722"/>
      <c r="H319" s="1722"/>
      <c r="I319" s="1722"/>
      <c r="J319" s="1722"/>
      <c r="K319" s="1723"/>
      <c r="L319" s="1147" t="s">
        <v>1173</v>
      </c>
      <c r="M319" s="1464" t="s">
        <v>236</v>
      </c>
    </row>
    <row r="320" spans="1:13" x14ac:dyDescent="0.2">
      <c r="A320" s="1724" t="s">
        <v>573</v>
      </c>
      <c r="B320" s="1725"/>
      <c r="C320" s="1725"/>
      <c r="D320" s="1725"/>
      <c r="E320" s="1725"/>
      <c r="F320" s="1725"/>
      <c r="G320" s="1725"/>
      <c r="H320" s="1725"/>
      <c r="I320" s="1725"/>
      <c r="J320" s="1725"/>
      <c r="K320" s="1725"/>
      <c r="L320" s="1725"/>
      <c r="M320" s="1726"/>
    </row>
    <row r="321" spans="1:13" x14ac:dyDescent="0.2">
      <c r="A321" s="666" t="s">
        <v>281</v>
      </c>
      <c r="B321" s="1501" t="s">
        <v>92</v>
      </c>
      <c r="C321" s="1145"/>
      <c r="D321" s="1145"/>
      <c r="E321" s="1145"/>
      <c r="F321" s="1145" t="s">
        <v>93</v>
      </c>
      <c r="G321" s="1145"/>
      <c r="H321" s="1145"/>
      <c r="I321" s="1146"/>
      <c r="J321" s="1501" t="s">
        <v>94</v>
      </c>
      <c r="K321" s="1501" t="s">
        <v>35</v>
      </c>
      <c r="L321" s="1147" t="s">
        <v>95</v>
      </c>
      <c r="M321" s="1465" t="s">
        <v>86</v>
      </c>
    </row>
    <row r="322" spans="1:13" x14ac:dyDescent="0.2">
      <c r="A322" s="1498" t="s">
        <v>620</v>
      </c>
      <c r="B322" s="1502"/>
      <c r="C322" s="1748" t="s">
        <v>1667</v>
      </c>
      <c r="D322" s="1749"/>
      <c r="E322" s="1749"/>
      <c r="F322" s="1749"/>
      <c r="G322" s="1749"/>
      <c r="H322" s="1749"/>
      <c r="I322" s="1750"/>
      <c r="J322" s="1464" t="s">
        <v>236</v>
      </c>
      <c r="K322" s="668">
        <v>1</v>
      </c>
      <c r="L322" s="1538">
        <v>39.33</v>
      </c>
      <c r="M322" s="1537">
        <f>ROUND(L322*K322,2)</f>
        <v>39.33</v>
      </c>
    </row>
    <row r="323" spans="1:13" x14ac:dyDescent="0.2">
      <c r="A323" s="1498" t="s">
        <v>621</v>
      </c>
      <c r="B323" s="1502" t="s">
        <v>1654</v>
      </c>
      <c r="C323" s="1748" t="s">
        <v>221</v>
      </c>
      <c r="D323" s="1749"/>
      <c r="E323" s="1749"/>
      <c r="F323" s="1749"/>
      <c r="G323" s="1749"/>
      <c r="H323" s="1749"/>
      <c r="I323" s="1750"/>
      <c r="J323" s="1278" t="s">
        <v>217</v>
      </c>
      <c r="K323" s="603">
        <v>0.6</v>
      </c>
      <c r="L323" s="1538">
        <v>17.350000000000001</v>
      </c>
      <c r="M323" s="1537">
        <f>ROUND(L323*K323,2)</f>
        <v>10.41</v>
      </c>
    </row>
    <row r="324" spans="1:13" x14ac:dyDescent="0.2">
      <c r="A324" s="1498" t="s">
        <v>621</v>
      </c>
      <c r="B324" s="1502" t="s">
        <v>1653</v>
      </c>
      <c r="C324" s="1748" t="s">
        <v>222</v>
      </c>
      <c r="D324" s="1749"/>
      <c r="E324" s="1749"/>
      <c r="F324" s="1749"/>
      <c r="G324" s="1749"/>
      <c r="H324" s="1749"/>
      <c r="I324" s="1750"/>
      <c r="J324" s="604" t="s">
        <v>217</v>
      </c>
      <c r="K324" s="603">
        <v>1.2</v>
      </c>
      <c r="L324" s="1538">
        <v>21.5</v>
      </c>
      <c r="M324" s="1537">
        <f>ROUND(L324*K324,2)</f>
        <v>25.8</v>
      </c>
    </row>
    <row r="325" spans="1:13" x14ac:dyDescent="0.2">
      <c r="A325" s="600"/>
      <c r="B325" s="665"/>
      <c r="C325" s="1767" t="s">
        <v>1171</v>
      </c>
      <c r="D325" s="1768"/>
      <c r="E325" s="1768"/>
      <c r="F325" s="1768"/>
      <c r="G325" s="1768"/>
      <c r="H325" s="1768"/>
      <c r="I325" s="1768"/>
      <c r="J325" s="1737"/>
      <c r="K325" s="1497"/>
      <c r="L325" s="161"/>
      <c r="M325" s="1154">
        <f>ROUND(SUM(M322:M324),2)</f>
        <v>75.540000000000006</v>
      </c>
    </row>
    <row r="327" spans="1:13" x14ac:dyDescent="0.2">
      <c r="A327" s="1496" t="s">
        <v>375</v>
      </c>
      <c r="B327" s="1497"/>
      <c r="C327" s="1730" t="s">
        <v>131</v>
      </c>
      <c r="D327" s="1725"/>
      <c r="E327" s="1725"/>
      <c r="F327" s="1725"/>
      <c r="G327" s="1725"/>
      <c r="H327" s="1725"/>
      <c r="I327" s="1725"/>
      <c r="J327" s="1725"/>
      <c r="K327" s="1725"/>
      <c r="L327" s="1725"/>
      <c r="M327" s="1726"/>
    </row>
    <row r="328" spans="1:13" x14ac:dyDescent="0.2">
      <c r="A328" s="1462" t="str">
        <f>ORÇ!A220</f>
        <v>11.10.6</v>
      </c>
      <c r="B328" s="1463"/>
      <c r="C328" s="1721" t="s">
        <v>1666</v>
      </c>
      <c r="D328" s="1722"/>
      <c r="E328" s="1722"/>
      <c r="F328" s="1722"/>
      <c r="G328" s="1722"/>
      <c r="H328" s="1722"/>
      <c r="I328" s="1722"/>
      <c r="J328" s="1722"/>
      <c r="K328" s="1723"/>
      <c r="L328" s="1147" t="s">
        <v>1173</v>
      </c>
      <c r="M328" s="1464" t="s">
        <v>236</v>
      </c>
    </row>
    <row r="329" spans="1:13" x14ac:dyDescent="0.2">
      <c r="A329" s="1724" t="s">
        <v>587</v>
      </c>
      <c r="B329" s="1725"/>
      <c r="C329" s="1725"/>
      <c r="D329" s="1725"/>
      <c r="E329" s="1725"/>
      <c r="F329" s="1725"/>
      <c r="G329" s="1725"/>
      <c r="H329" s="1725"/>
      <c r="I329" s="1725"/>
      <c r="J329" s="1725"/>
      <c r="K329" s="1725"/>
      <c r="L329" s="1725"/>
      <c r="M329" s="1726"/>
    </row>
    <row r="330" spans="1:13" x14ac:dyDescent="0.2">
      <c r="A330" s="666" t="s">
        <v>281</v>
      </c>
      <c r="B330" s="1501" t="s">
        <v>92</v>
      </c>
      <c r="C330" s="1145"/>
      <c r="D330" s="1145"/>
      <c r="E330" s="1145"/>
      <c r="F330" s="1145" t="s">
        <v>93</v>
      </c>
      <c r="G330" s="1145"/>
      <c r="H330" s="1145"/>
      <c r="I330" s="1146"/>
      <c r="J330" s="1501" t="s">
        <v>94</v>
      </c>
      <c r="K330" s="1501" t="s">
        <v>35</v>
      </c>
      <c r="L330" s="1147" t="s">
        <v>95</v>
      </c>
      <c r="M330" s="1465" t="s">
        <v>86</v>
      </c>
    </row>
    <row r="331" spans="1:13" x14ac:dyDescent="0.2">
      <c r="A331" s="1498" t="s">
        <v>620</v>
      </c>
      <c r="B331" s="1502"/>
      <c r="C331" s="1748" t="s">
        <v>1665</v>
      </c>
      <c r="D331" s="1749"/>
      <c r="E331" s="1749"/>
      <c r="F331" s="1749"/>
      <c r="G331" s="1749"/>
      <c r="H331" s="1749"/>
      <c r="I331" s="1750"/>
      <c r="J331" s="1464" t="s">
        <v>236</v>
      </c>
      <c r="K331" s="668">
        <v>1</v>
      </c>
      <c r="L331" s="1538">
        <v>9.5500000000000007</v>
      </c>
      <c r="M331" s="1537">
        <f>ROUND(L331*K331,2)</f>
        <v>9.5500000000000007</v>
      </c>
    </row>
    <row r="332" spans="1:13" x14ac:dyDescent="0.2">
      <c r="A332" s="1498" t="s">
        <v>621</v>
      </c>
      <c r="B332" s="1502" t="s">
        <v>1654</v>
      </c>
      <c r="C332" s="1748" t="s">
        <v>221</v>
      </c>
      <c r="D332" s="1749"/>
      <c r="E332" s="1749"/>
      <c r="F332" s="1749"/>
      <c r="G332" s="1749"/>
      <c r="H332" s="1749"/>
      <c r="I332" s="1750"/>
      <c r="J332" s="1278" t="s">
        <v>217</v>
      </c>
      <c r="K332" s="603">
        <v>0.3</v>
      </c>
      <c r="L332" s="1538">
        <v>17.350000000000001</v>
      </c>
      <c r="M332" s="1537">
        <f>ROUND(L332*K332,2)</f>
        <v>5.21</v>
      </c>
    </row>
    <row r="333" spans="1:13" x14ac:dyDescent="0.2">
      <c r="A333" s="1498" t="s">
        <v>621</v>
      </c>
      <c r="B333" s="1502" t="s">
        <v>1653</v>
      </c>
      <c r="C333" s="1748" t="s">
        <v>222</v>
      </c>
      <c r="D333" s="1749"/>
      <c r="E333" s="1749"/>
      <c r="F333" s="1749"/>
      <c r="G333" s="1749"/>
      <c r="H333" s="1749"/>
      <c r="I333" s="1750"/>
      <c r="J333" s="604" t="s">
        <v>217</v>
      </c>
      <c r="K333" s="603">
        <v>0.6</v>
      </c>
      <c r="L333" s="1538">
        <v>21.5</v>
      </c>
      <c r="M333" s="1537">
        <f>ROUND(L333*K333,2)</f>
        <v>12.9</v>
      </c>
    </row>
    <row r="334" spans="1:13" x14ac:dyDescent="0.2">
      <c r="A334" s="600"/>
      <c r="B334" s="665"/>
      <c r="C334" s="1767" t="s">
        <v>1171</v>
      </c>
      <c r="D334" s="1768"/>
      <c r="E334" s="1768"/>
      <c r="F334" s="1768"/>
      <c r="G334" s="1768"/>
      <c r="H334" s="1768"/>
      <c r="I334" s="1768"/>
      <c r="J334" s="1737"/>
      <c r="K334" s="1497"/>
      <c r="L334" s="161"/>
      <c r="M334" s="1154">
        <f>ROUND(SUM(M331:M333),2)</f>
        <v>27.66</v>
      </c>
    </row>
    <row r="336" spans="1:13" x14ac:dyDescent="0.2">
      <c r="A336" s="1496" t="s">
        <v>375</v>
      </c>
      <c r="B336" s="1497"/>
      <c r="C336" s="1730" t="s">
        <v>131</v>
      </c>
      <c r="D336" s="1725"/>
      <c r="E336" s="1725"/>
      <c r="F336" s="1725"/>
      <c r="G336" s="1725"/>
      <c r="H336" s="1725"/>
      <c r="I336" s="1725"/>
      <c r="J336" s="1725"/>
      <c r="K336" s="1725"/>
      <c r="L336" s="1725"/>
      <c r="M336" s="1726"/>
    </row>
    <row r="337" spans="1:13" x14ac:dyDescent="0.2">
      <c r="A337" s="1462" t="str">
        <f>ORÇ!A224</f>
        <v>11.10.10</v>
      </c>
      <c r="B337" s="1463"/>
      <c r="C337" s="1721" t="s">
        <v>1664</v>
      </c>
      <c r="D337" s="1722"/>
      <c r="E337" s="1722"/>
      <c r="F337" s="1722"/>
      <c r="G337" s="1722"/>
      <c r="H337" s="1722"/>
      <c r="I337" s="1722"/>
      <c r="J337" s="1722"/>
      <c r="K337" s="1723"/>
      <c r="L337" s="1147" t="s">
        <v>1173</v>
      </c>
      <c r="M337" s="1464" t="s">
        <v>236</v>
      </c>
    </row>
    <row r="338" spans="1:13" x14ac:dyDescent="0.2">
      <c r="A338" s="1724" t="s">
        <v>593</v>
      </c>
      <c r="B338" s="1725"/>
      <c r="C338" s="1725"/>
      <c r="D338" s="1725"/>
      <c r="E338" s="1725"/>
      <c r="F338" s="1725"/>
      <c r="G338" s="1725"/>
      <c r="H338" s="1725"/>
      <c r="I338" s="1725"/>
      <c r="J338" s="1725"/>
      <c r="K338" s="1725"/>
      <c r="L338" s="1725"/>
      <c r="M338" s="1726"/>
    </row>
    <row r="339" spans="1:13" x14ac:dyDescent="0.2">
      <c r="A339" s="666" t="s">
        <v>281</v>
      </c>
      <c r="B339" s="1501" t="s">
        <v>92</v>
      </c>
      <c r="C339" s="1145"/>
      <c r="D339" s="1145"/>
      <c r="E339" s="1145"/>
      <c r="F339" s="1145" t="s">
        <v>93</v>
      </c>
      <c r="G339" s="1145"/>
      <c r="H339" s="1145"/>
      <c r="I339" s="1146"/>
      <c r="J339" s="1501" t="s">
        <v>94</v>
      </c>
      <c r="K339" s="1501" t="s">
        <v>35</v>
      </c>
      <c r="L339" s="1147" t="s">
        <v>95</v>
      </c>
      <c r="M339" s="1465" t="s">
        <v>86</v>
      </c>
    </row>
    <row r="340" spans="1:13" x14ac:dyDescent="0.2">
      <c r="A340" s="1498" t="s">
        <v>620</v>
      </c>
      <c r="B340" s="1502"/>
      <c r="C340" s="1806" t="s">
        <v>1663</v>
      </c>
      <c r="D340" s="1807"/>
      <c r="E340" s="1807"/>
      <c r="F340" s="1807"/>
      <c r="G340" s="1807"/>
      <c r="H340" s="1807"/>
      <c r="I340" s="1808"/>
      <c r="J340" s="1464" t="s">
        <v>236</v>
      </c>
      <c r="K340" s="668">
        <v>1</v>
      </c>
      <c r="L340" s="1538">
        <v>5.0999999999999996</v>
      </c>
      <c r="M340" s="1537">
        <f>ROUND(L340*K340,2)</f>
        <v>5.0999999999999996</v>
      </c>
    </row>
    <row r="341" spans="1:13" x14ac:dyDescent="0.2">
      <c r="A341" s="1498" t="s">
        <v>621</v>
      </c>
      <c r="B341" s="1502" t="s">
        <v>1654</v>
      </c>
      <c r="C341" s="1748" t="s">
        <v>221</v>
      </c>
      <c r="D341" s="1749"/>
      <c r="E341" s="1749"/>
      <c r="F341" s="1749"/>
      <c r="G341" s="1749"/>
      <c r="H341" s="1749"/>
      <c r="I341" s="1750"/>
      <c r="J341" s="1278" t="s">
        <v>217</v>
      </c>
      <c r="K341" s="603">
        <v>0.05</v>
      </c>
      <c r="L341" s="1538">
        <v>17.350000000000001</v>
      </c>
      <c r="M341" s="1537">
        <f>ROUND(L341*K341,2)</f>
        <v>0.87</v>
      </c>
    </row>
    <row r="342" spans="1:13" x14ac:dyDescent="0.2">
      <c r="A342" s="1498" t="s">
        <v>621</v>
      </c>
      <c r="B342" s="1502" t="s">
        <v>1653</v>
      </c>
      <c r="C342" s="1748" t="s">
        <v>222</v>
      </c>
      <c r="D342" s="1749"/>
      <c r="E342" s="1749"/>
      <c r="F342" s="1749"/>
      <c r="G342" s="1749"/>
      <c r="H342" s="1749"/>
      <c r="I342" s="1750"/>
      <c r="J342" s="604" t="s">
        <v>217</v>
      </c>
      <c r="K342" s="603">
        <v>0.1</v>
      </c>
      <c r="L342" s="1538">
        <v>21.5</v>
      </c>
      <c r="M342" s="1537">
        <f>ROUND(L342*K342,2)</f>
        <v>2.15</v>
      </c>
    </row>
    <row r="343" spans="1:13" x14ac:dyDescent="0.2">
      <c r="A343" s="600"/>
      <c r="B343" s="665"/>
      <c r="C343" s="1767" t="s">
        <v>1171</v>
      </c>
      <c r="D343" s="1768"/>
      <c r="E343" s="1768"/>
      <c r="F343" s="1768"/>
      <c r="G343" s="1768"/>
      <c r="H343" s="1768"/>
      <c r="I343" s="1768"/>
      <c r="J343" s="1737"/>
      <c r="K343" s="1497"/>
      <c r="L343" s="161"/>
      <c r="M343" s="1154">
        <f>ROUND(SUM(M340:M342),2)</f>
        <v>8.1199999999999992</v>
      </c>
    </row>
    <row r="345" spans="1:13" x14ac:dyDescent="0.2">
      <c r="A345" s="1496" t="s">
        <v>375</v>
      </c>
      <c r="B345" s="1497"/>
      <c r="C345" s="1730" t="s">
        <v>131</v>
      </c>
      <c r="D345" s="1725"/>
      <c r="E345" s="1725"/>
      <c r="F345" s="1725"/>
      <c r="G345" s="1725"/>
      <c r="H345" s="1725"/>
      <c r="I345" s="1725"/>
      <c r="J345" s="1725"/>
      <c r="K345" s="1725"/>
      <c r="L345" s="1725"/>
      <c r="M345" s="1726"/>
    </row>
    <row r="346" spans="1:13" x14ac:dyDescent="0.2">
      <c r="A346" s="1462" t="str">
        <f>ORÇ!A229</f>
        <v>11.10.15</v>
      </c>
      <c r="B346" s="1463"/>
      <c r="C346" s="1721" t="s">
        <v>1662</v>
      </c>
      <c r="D346" s="1722"/>
      <c r="E346" s="1722"/>
      <c r="F346" s="1722"/>
      <c r="G346" s="1722"/>
      <c r="H346" s="1722"/>
      <c r="I346" s="1722"/>
      <c r="J346" s="1722"/>
      <c r="K346" s="1723"/>
      <c r="L346" s="1147" t="s">
        <v>1173</v>
      </c>
      <c r="M346" s="1464" t="s">
        <v>236</v>
      </c>
    </row>
    <row r="347" spans="1:13" x14ac:dyDescent="0.2">
      <c r="A347" s="1724" t="s">
        <v>1716</v>
      </c>
      <c r="B347" s="1725"/>
      <c r="C347" s="1725"/>
      <c r="D347" s="1725"/>
      <c r="E347" s="1725"/>
      <c r="F347" s="1725"/>
      <c r="G347" s="1725"/>
      <c r="H347" s="1725"/>
      <c r="I347" s="1725"/>
      <c r="J347" s="1725"/>
      <c r="K347" s="1725"/>
      <c r="L347" s="1725"/>
      <c r="M347" s="1726"/>
    </row>
    <row r="348" spans="1:13" x14ac:dyDescent="0.2">
      <c r="A348" s="666" t="s">
        <v>281</v>
      </c>
      <c r="B348" s="1501" t="s">
        <v>92</v>
      </c>
      <c r="C348" s="1145"/>
      <c r="D348" s="1145"/>
      <c r="E348" s="1145"/>
      <c r="F348" s="1145" t="s">
        <v>93</v>
      </c>
      <c r="G348" s="1145"/>
      <c r="H348" s="1145"/>
      <c r="I348" s="1146"/>
      <c r="J348" s="1501" t="s">
        <v>94</v>
      </c>
      <c r="K348" s="1501" t="s">
        <v>35</v>
      </c>
      <c r="L348" s="1147" t="s">
        <v>95</v>
      </c>
      <c r="M348" s="1465" t="s">
        <v>86</v>
      </c>
    </row>
    <row r="349" spans="1:13" x14ac:dyDescent="0.2">
      <c r="A349" s="1498" t="s">
        <v>620</v>
      </c>
      <c r="B349" s="1502"/>
      <c r="C349" s="1748" t="s">
        <v>1661</v>
      </c>
      <c r="D349" s="1749"/>
      <c r="E349" s="1749"/>
      <c r="F349" s="1749"/>
      <c r="G349" s="1749"/>
      <c r="H349" s="1749"/>
      <c r="I349" s="1750"/>
      <c r="J349" s="1464" t="s">
        <v>236</v>
      </c>
      <c r="K349" s="668">
        <v>1</v>
      </c>
      <c r="L349" s="1538">
        <v>118.83</v>
      </c>
      <c r="M349" s="1537">
        <f>ROUND(L349*K349,2)</f>
        <v>118.83</v>
      </c>
    </row>
    <row r="350" spans="1:13" x14ac:dyDescent="0.2">
      <c r="A350" s="1498" t="s">
        <v>621</v>
      </c>
      <c r="B350" s="1502" t="s">
        <v>1654</v>
      </c>
      <c r="C350" s="1748" t="s">
        <v>221</v>
      </c>
      <c r="D350" s="1749"/>
      <c r="E350" s="1749"/>
      <c r="F350" s="1749"/>
      <c r="G350" s="1749"/>
      <c r="H350" s="1749"/>
      <c r="I350" s="1750"/>
      <c r="J350" s="1278" t="s">
        <v>217</v>
      </c>
      <c r="K350" s="603">
        <v>0.15</v>
      </c>
      <c r="L350" s="1538">
        <v>17.350000000000001</v>
      </c>
      <c r="M350" s="1537">
        <f>ROUND(L350*K350,2)</f>
        <v>2.6</v>
      </c>
    </row>
    <row r="351" spans="1:13" x14ac:dyDescent="0.2">
      <c r="A351" s="1498" t="s">
        <v>621</v>
      </c>
      <c r="B351" s="1502" t="s">
        <v>1653</v>
      </c>
      <c r="C351" s="1748" t="s">
        <v>222</v>
      </c>
      <c r="D351" s="1749"/>
      <c r="E351" s="1749"/>
      <c r="F351" s="1749"/>
      <c r="G351" s="1749"/>
      <c r="H351" s="1749"/>
      <c r="I351" s="1750"/>
      <c r="J351" s="604" t="s">
        <v>217</v>
      </c>
      <c r="K351" s="603">
        <v>0.4</v>
      </c>
      <c r="L351" s="1538">
        <v>21.5</v>
      </c>
      <c r="M351" s="1537">
        <f>ROUND(L351*K351,2)</f>
        <v>8.6</v>
      </c>
    </row>
    <row r="352" spans="1:13" x14ac:dyDescent="0.2">
      <c r="A352" s="600"/>
      <c r="B352" s="665"/>
      <c r="C352" s="1767" t="s">
        <v>1171</v>
      </c>
      <c r="D352" s="1768"/>
      <c r="E352" s="1768"/>
      <c r="F352" s="1768"/>
      <c r="G352" s="1768"/>
      <c r="H352" s="1768"/>
      <c r="I352" s="1768"/>
      <c r="J352" s="1737"/>
      <c r="K352" s="1497"/>
      <c r="L352" s="161"/>
      <c r="M352" s="1154">
        <f>ROUND(SUM(M349:M351),2)</f>
        <v>130.03</v>
      </c>
    </row>
    <row r="354" spans="1:13" x14ac:dyDescent="0.2">
      <c r="A354" s="1496" t="s">
        <v>375</v>
      </c>
      <c r="B354" s="1497"/>
      <c r="C354" s="1730" t="s">
        <v>131</v>
      </c>
      <c r="D354" s="1725"/>
      <c r="E354" s="1725"/>
      <c r="F354" s="1725"/>
      <c r="G354" s="1725"/>
      <c r="H354" s="1725"/>
      <c r="I354" s="1725"/>
      <c r="J354" s="1725"/>
      <c r="K354" s="1725"/>
      <c r="L354" s="1725"/>
      <c r="M354" s="1726"/>
    </row>
    <row r="355" spans="1:13" x14ac:dyDescent="0.2">
      <c r="A355" s="1462" t="str">
        <f>ORÇ!A230</f>
        <v>11.10.16</v>
      </c>
      <c r="B355" s="1463"/>
      <c r="C355" s="1721" t="s">
        <v>1660</v>
      </c>
      <c r="D355" s="1722"/>
      <c r="E355" s="1722"/>
      <c r="F355" s="1722"/>
      <c r="G355" s="1722"/>
      <c r="H355" s="1722"/>
      <c r="I355" s="1722"/>
      <c r="J355" s="1722"/>
      <c r="K355" s="1723"/>
      <c r="L355" s="1147" t="s">
        <v>1173</v>
      </c>
      <c r="M355" s="1464" t="s">
        <v>236</v>
      </c>
    </row>
    <row r="356" spans="1:13" x14ac:dyDescent="0.2">
      <c r="A356" s="1724" t="s">
        <v>659</v>
      </c>
      <c r="B356" s="1725"/>
      <c r="C356" s="1725"/>
      <c r="D356" s="1725"/>
      <c r="E356" s="1725"/>
      <c r="F356" s="1725"/>
      <c r="G356" s="1725"/>
      <c r="H356" s="1725"/>
      <c r="I356" s="1725"/>
      <c r="J356" s="1725"/>
      <c r="K356" s="1725"/>
      <c r="L356" s="1725"/>
      <c r="M356" s="1726"/>
    </row>
    <row r="357" spans="1:13" x14ac:dyDescent="0.2">
      <c r="A357" s="666" t="s">
        <v>281</v>
      </c>
      <c r="B357" s="1501" t="s">
        <v>92</v>
      </c>
      <c r="C357" s="1145"/>
      <c r="D357" s="1145"/>
      <c r="E357" s="1145"/>
      <c r="F357" s="1145" t="s">
        <v>93</v>
      </c>
      <c r="G357" s="1145"/>
      <c r="H357" s="1145"/>
      <c r="I357" s="1146"/>
      <c r="J357" s="1501" t="s">
        <v>94</v>
      </c>
      <c r="K357" s="1501" t="s">
        <v>35</v>
      </c>
      <c r="L357" s="1147" t="s">
        <v>95</v>
      </c>
      <c r="M357" s="1465" t="s">
        <v>86</v>
      </c>
    </row>
    <row r="358" spans="1:13" x14ac:dyDescent="0.2">
      <c r="A358" s="1498" t="s">
        <v>620</v>
      </c>
      <c r="B358" s="1502"/>
      <c r="C358" s="1748" t="s">
        <v>1659</v>
      </c>
      <c r="D358" s="1749"/>
      <c r="E358" s="1749"/>
      <c r="F358" s="1749"/>
      <c r="G358" s="1749"/>
      <c r="H358" s="1749"/>
      <c r="I358" s="1750"/>
      <c r="J358" s="1464" t="s">
        <v>236</v>
      </c>
      <c r="K358" s="668">
        <v>1</v>
      </c>
      <c r="L358" s="1538">
        <v>139.88999999999999</v>
      </c>
      <c r="M358" s="1537">
        <f>ROUND(L358*K358,2)</f>
        <v>139.88999999999999</v>
      </c>
    </row>
    <row r="359" spans="1:13" x14ac:dyDescent="0.2">
      <c r="A359" s="1498" t="s">
        <v>621</v>
      </c>
      <c r="B359" s="1502" t="s">
        <v>1654</v>
      </c>
      <c r="C359" s="1748" t="s">
        <v>221</v>
      </c>
      <c r="D359" s="1749"/>
      <c r="E359" s="1749"/>
      <c r="F359" s="1749"/>
      <c r="G359" s="1749"/>
      <c r="H359" s="1749"/>
      <c r="I359" s="1750"/>
      <c r="J359" s="1278" t="s">
        <v>217</v>
      </c>
      <c r="K359" s="603">
        <v>0.15</v>
      </c>
      <c r="L359" s="1538">
        <v>17.350000000000001</v>
      </c>
      <c r="M359" s="1537">
        <f>ROUND(L359*K359,2)</f>
        <v>2.6</v>
      </c>
    </row>
    <row r="360" spans="1:13" x14ac:dyDescent="0.2">
      <c r="A360" s="1498" t="s">
        <v>621</v>
      </c>
      <c r="B360" s="1502" t="s">
        <v>1653</v>
      </c>
      <c r="C360" s="1748" t="s">
        <v>222</v>
      </c>
      <c r="D360" s="1749"/>
      <c r="E360" s="1749"/>
      <c r="F360" s="1749"/>
      <c r="G360" s="1749"/>
      <c r="H360" s="1749"/>
      <c r="I360" s="1750"/>
      <c r="J360" s="604" t="s">
        <v>217</v>
      </c>
      <c r="K360" s="603">
        <v>0.4</v>
      </c>
      <c r="L360" s="1538">
        <v>21.5</v>
      </c>
      <c r="M360" s="1537">
        <f>ROUND(L360*K360,2)</f>
        <v>8.6</v>
      </c>
    </row>
    <row r="361" spans="1:13" x14ac:dyDescent="0.2">
      <c r="A361" s="600"/>
      <c r="B361" s="665"/>
      <c r="C361" s="1767" t="s">
        <v>1171</v>
      </c>
      <c r="D361" s="1768"/>
      <c r="E361" s="1768"/>
      <c r="F361" s="1768"/>
      <c r="G361" s="1768"/>
      <c r="H361" s="1768"/>
      <c r="I361" s="1768"/>
      <c r="J361" s="1737"/>
      <c r="K361" s="1497"/>
      <c r="L361" s="161"/>
      <c r="M361" s="1154">
        <f>ROUND(SUM(M358:M360),2)</f>
        <v>151.09</v>
      </c>
    </row>
    <row r="363" spans="1:13" x14ac:dyDescent="0.2">
      <c r="A363" s="1496" t="s">
        <v>375</v>
      </c>
      <c r="B363" s="1497"/>
      <c r="C363" s="1730" t="s">
        <v>131</v>
      </c>
      <c r="D363" s="1725"/>
      <c r="E363" s="1725"/>
      <c r="F363" s="1725"/>
      <c r="G363" s="1725"/>
      <c r="H363" s="1725"/>
      <c r="I363" s="1725"/>
      <c r="J363" s="1725"/>
      <c r="K363" s="1725"/>
      <c r="L363" s="1725"/>
      <c r="M363" s="1726"/>
    </row>
    <row r="364" spans="1:13" x14ac:dyDescent="0.2">
      <c r="A364" s="1462" t="str">
        <f>ORÇ!A231</f>
        <v>11.10.17</v>
      </c>
      <c r="B364" s="1463"/>
      <c r="C364" s="1721" t="s">
        <v>1658</v>
      </c>
      <c r="D364" s="1722"/>
      <c r="E364" s="1722"/>
      <c r="F364" s="1722"/>
      <c r="G364" s="1722"/>
      <c r="H364" s="1722"/>
      <c r="I364" s="1722"/>
      <c r="J364" s="1722"/>
      <c r="K364" s="1723"/>
      <c r="L364" s="1147" t="s">
        <v>1173</v>
      </c>
      <c r="M364" s="1464" t="s">
        <v>236</v>
      </c>
    </row>
    <row r="365" spans="1:13" x14ac:dyDescent="0.2">
      <c r="A365" s="1724" t="s">
        <v>660</v>
      </c>
      <c r="B365" s="1725"/>
      <c r="C365" s="1725"/>
      <c r="D365" s="1725"/>
      <c r="E365" s="1725"/>
      <c r="F365" s="1725"/>
      <c r="G365" s="1725"/>
      <c r="H365" s="1725"/>
      <c r="I365" s="1725"/>
      <c r="J365" s="1725"/>
      <c r="K365" s="1725"/>
      <c r="L365" s="1725"/>
      <c r="M365" s="1726"/>
    </row>
    <row r="366" spans="1:13" x14ac:dyDescent="0.2">
      <c r="A366" s="666" t="s">
        <v>281</v>
      </c>
      <c r="B366" s="1501" t="s">
        <v>92</v>
      </c>
      <c r="C366" s="1145"/>
      <c r="D366" s="1145"/>
      <c r="E366" s="1145"/>
      <c r="F366" s="1145" t="s">
        <v>93</v>
      </c>
      <c r="G366" s="1145"/>
      <c r="H366" s="1145"/>
      <c r="I366" s="1146"/>
      <c r="J366" s="1501" t="s">
        <v>94</v>
      </c>
      <c r="K366" s="1501" t="s">
        <v>35</v>
      </c>
      <c r="L366" s="1147" t="s">
        <v>95</v>
      </c>
      <c r="M366" s="1465" t="s">
        <v>86</v>
      </c>
    </row>
    <row r="367" spans="1:13" x14ac:dyDescent="0.2">
      <c r="A367" s="1498" t="s">
        <v>620</v>
      </c>
      <c r="B367" s="1502"/>
      <c r="C367" s="1748" t="s">
        <v>1657</v>
      </c>
      <c r="D367" s="1749"/>
      <c r="E367" s="1749"/>
      <c r="F367" s="1749"/>
      <c r="G367" s="1749"/>
      <c r="H367" s="1749"/>
      <c r="I367" s="1750"/>
      <c r="J367" s="1464" t="s">
        <v>236</v>
      </c>
      <c r="K367" s="668">
        <v>1</v>
      </c>
      <c r="L367" s="1538">
        <v>109.14</v>
      </c>
      <c r="M367" s="1537">
        <f>ROUND(L367*K367,2)</f>
        <v>109.14</v>
      </c>
    </row>
    <row r="368" spans="1:13" x14ac:dyDescent="0.2">
      <c r="A368" s="1498" t="s">
        <v>621</v>
      </c>
      <c r="B368" s="1502" t="s">
        <v>1654</v>
      </c>
      <c r="C368" s="1748" t="s">
        <v>221</v>
      </c>
      <c r="D368" s="1749"/>
      <c r="E368" s="1749"/>
      <c r="F368" s="1749"/>
      <c r="G368" s="1749"/>
      <c r="H368" s="1749"/>
      <c r="I368" s="1750"/>
      <c r="J368" s="1278" t="s">
        <v>217</v>
      </c>
      <c r="K368" s="603">
        <v>0.15</v>
      </c>
      <c r="L368" s="1538">
        <v>17.350000000000001</v>
      </c>
      <c r="M368" s="1537">
        <f>ROUND(L368*K368,2)</f>
        <v>2.6</v>
      </c>
    </row>
    <row r="369" spans="1:13" x14ac:dyDescent="0.2">
      <c r="A369" s="1498" t="s">
        <v>621</v>
      </c>
      <c r="B369" s="1502" t="s">
        <v>1653</v>
      </c>
      <c r="C369" s="1748" t="s">
        <v>222</v>
      </c>
      <c r="D369" s="1749"/>
      <c r="E369" s="1749"/>
      <c r="F369" s="1749"/>
      <c r="G369" s="1749"/>
      <c r="H369" s="1749"/>
      <c r="I369" s="1750"/>
      <c r="J369" s="604" t="s">
        <v>217</v>
      </c>
      <c r="K369" s="603">
        <v>0.4</v>
      </c>
      <c r="L369" s="1538">
        <v>21.5</v>
      </c>
      <c r="M369" s="1537">
        <f>ROUND(L369*K369,2)</f>
        <v>8.6</v>
      </c>
    </row>
    <row r="370" spans="1:13" x14ac:dyDescent="0.2">
      <c r="A370" s="600"/>
      <c r="B370" s="665"/>
      <c r="C370" s="1767" t="s">
        <v>1171</v>
      </c>
      <c r="D370" s="1768"/>
      <c r="E370" s="1768"/>
      <c r="F370" s="1768"/>
      <c r="G370" s="1768"/>
      <c r="H370" s="1768"/>
      <c r="I370" s="1768"/>
      <c r="J370" s="1737"/>
      <c r="K370" s="1497"/>
      <c r="L370" s="161"/>
      <c r="M370" s="1154">
        <f>ROUND(SUM(M367:M369),2)</f>
        <v>120.34</v>
      </c>
    </row>
    <row r="372" spans="1:13" x14ac:dyDescent="0.2">
      <c r="A372" s="1496" t="s">
        <v>375</v>
      </c>
      <c r="B372" s="1497"/>
      <c r="C372" s="1730" t="s">
        <v>131</v>
      </c>
      <c r="D372" s="1725"/>
      <c r="E372" s="1725"/>
      <c r="F372" s="1725"/>
      <c r="G372" s="1725"/>
      <c r="H372" s="1725"/>
      <c r="I372" s="1725"/>
      <c r="J372" s="1725"/>
      <c r="K372" s="1725"/>
      <c r="L372" s="1725"/>
      <c r="M372" s="1726"/>
    </row>
    <row r="373" spans="1:13" x14ac:dyDescent="0.2">
      <c r="A373" s="1462" t="str">
        <f>ORÇ!A252</f>
        <v>11.11.6</v>
      </c>
      <c r="B373" s="1463"/>
      <c r="C373" s="1721" t="s">
        <v>1656</v>
      </c>
      <c r="D373" s="1722"/>
      <c r="E373" s="1722"/>
      <c r="F373" s="1722"/>
      <c r="G373" s="1722"/>
      <c r="H373" s="1722"/>
      <c r="I373" s="1722"/>
      <c r="J373" s="1722"/>
      <c r="K373" s="1723"/>
      <c r="L373" s="1147" t="s">
        <v>1173</v>
      </c>
      <c r="M373" s="1464" t="s">
        <v>236</v>
      </c>
    </row>
    <row r="374" spans="1:13" x14ac:dyDescent="0.2">
      <c r="A374" s="1724" t="s">
        <v>661</v>
      </c>
      <c r="B374" s="1725"/>
      <c r="C374" s="1725"/>
      <c r="D374" s="1725"/>
      <c r="E374" s="1725"/>
      <c r="F374" s="1725"/>
      <c r="G374" s="1725"/>
      <c r="H374" s="1725"/>
      <c r="I374" s="1725"/>
      <c r="J374" s="1725"/>
      <c r="K374" s="1725"/>
      <c r="L374" s="1725"/>
      <c r="M374" s="1726"/>
    </row>
    <row r="375" spans="1:13" x14ac:dyDescent="0.2">
      <c r="A375" s="666" t="s">
        <v>281</v>
      </c>
      <c r="B375" s="1501" t="s">
        <v>92</v>
      </c>
      <c r="C375" s="1145"/>
      <c r="D375" s="1145"/>
      <c r="E375" s="1145"/>
      <c r="F375" s="1145" t="s">
        <v>93</v>
      </c>
      <c r="G375" s="1145"/>
      <c r="H375" s="1145"/>
      <c r="I375" s="1146"/>
      <c r="J375" s="1501" t="s">
        <v>94</v>
      </c>
      <c r="K375" s="1501" t="s">
        <v>35</v>
      </c>
      <c r="L375" s="1147" t="s">
        <v>95</v>
      </c>
      <c r="M375" s="1465" t="s">
        <v>86</v>
      </c>
    </row>
    <row r="376" spans="1:13" x14ac:dyDescent="0.2">
      <c r="A376" s="1498" t="s">
        <v>620</v>
      </c>
      <c r="B376" s="1502"/>
      <c r="C376" s="1748" t="s">
        <v>1655</v>
      </c>
      <c r="D376" s="1749"/>
      <c r="E376" s="1749"/>
      <c r="F376" s="1749"/>
      <c r="G376" s="1749"/>
      <c r="H376" s="1749"/>
      <c r="I376" s="1750"/>
      <c r="J376" s="1464" t="s">
        <v>236</v>
      </c>
      <c r="K376" s="668">
        <v>1</v>
      </c>
      <c r="L376" s="1538">
        <v>37.57</v>
      </c>
      <c r="M376" s="1537">
        <f>ROUND(L376*K376,2)</f>
        <v>37.57</v>
      </c>
    </row>
    <row r="377" spans="1:13" x14ac:dyDescent="0.2">
      <c r="A377" s="1498" t="s">
        <v>621</v>
      </c>
      <c r="B377" s="1502" t="s">
        <v>1654</v>
      </c>
      <c r="C377" s="1748" t="s">
        <v>221</v>
      </c>
      <c r="D377" s="1749"/>
      <c r="E377" s="1749"/>
      <c r="F377" s="1749"/>
      <c r="G377" s="1749"/>
      <c r="H377" s="1749"/>
      <c r="I377" s="1750"/>
      <c r="J377" s="1278" t="s">
        <v>217</v>
      </c>
      <c r="K377" s="603">
        <v>0.5</v>
      </c>
      <c r="L377" s="1538">
        <v>17.350000000000001</v>
      </c>
      <c r="M377" s="1537">
        <f>ROUND(L377*K377,2)</f>
        <v>8.68</v>
      </c>
    </row>
    <row r="378" spans="1:13" x14ac:dyDescent="0.2">
      <c r="A378" s="1498" t="s">
        <v>621</v>
      </c>
      <c r="B378" s="1502" t="s">
        <v>1653</v>
      </c>
      <c r="C378" s="1748" t="s">
        <v>222</v>
      </c>
      <c r="D378" s="1749"/>
      <c r="E378" s="1749"/>
      <c r="F378" s="1749"/>
      <c r="G378" s="1749"/>
      <c r="H378" s="1749"/>
      <c r="I378" s="1750"/>
      <c r="J378" s="604" t="s">
        <v>217</v>
      </c>
      <c r="K378" s="603">
        <v>1</v>
      </c>
      <c r="L378" s="1538">
        <v>21.5</v>
      </c>
      <c r="M378" s="1537">
        <f>ROUND(L378*K378,2)</f>
        <v>21.5</v>
      </c>
    </row>
    <row r="379" spans="1:13" x14ac:dyDescent="0.2">
      <c r="A379" s="600"/>
      <c r="B379" s="665"/>
      <c r="C379" s="1767" t="s">
        <v>1171</v>
      </c>
      <c r="D379" s="1768"/>
      <c r="E379" s="1768"/>
      <c r="F379" s="1768"/>
      <c r="G379" s="1768"/>
      <c r="H379" s="1768"/>
      <c r="I379" s="1768"/>
      <c r="J379" s="1737"/>
      <c r="K379" s="1497"/>
      <c r="L379" s="161"/>
      <c r="M379" s="1154">
        <f>ROUND(SUM(M376:M378),2)</f>
        <v>67.75</v>
      </c>
    </row>
    <row r="381" spans="1:13" x14ac:dyDescent="0.2">
      <c r="A381" s="290" t="s">
        <v>32</v>
      </c>
      <c r="B381" s="1737" t="s">
        <v>131</v>
      </c>
      <c r="C381" s="1737"/>
      <c r="D381" s="1737"/>
      <c r="E381" s="1737"/>
      <c r="F381" s="1737"/>
      <c r="G381" s="1737"/>
      <c r="H381" s="1737"/>
      <c r="I381" s="1737"/>
      <c r="J381" s="1737"/>
      <c r="K381" s="1737"/>
      <c r="L381" s="1737"/>
      <c r="M381" s="1737"/>
    </row>
    <row r="382" spans="1:13" ht="62.25" customHeight="1" x14ac:dyDescent="0.2">
      <c r="A382" s="291" t="str">
        <f>ORÇ!A112</f>
        <v>9.2.5</v>
      </c>
      <c r="C382" s="1727" t="s">
        <v>1259</v>
      </c>
      <c r="D382" s="1728"/>
      <c r="E382" s="1728"/>
      <c r="F382" s="1728"/>
      <c r="G382" s="1728"/>
      <c r="H382" s="1728"/>
      <c r="I382" s="1728"/>
      <c r="J382" s="1728"/>
      <c r="K382" s="1729"/>
      <c r="L382" s="1147" t="s">
        <v>1173</v>
      </c>
      <c r="M382" s="613" t="s">
        <v>96</v>
      </c>
    </row>
    <row r="383" spans="1:13" x14ac:dyDescent="0.2">
      <c r="A383" s="1737" t="s">
        <v>662</v>
      </c>
      <c r="B383" s="1737"/>
      <c r="C383" s="1737"/>
      <c r="D383" s="1737"/>
      <c r="E383" s="1737"/>
      <c r="F383" s="1737"/>
      <c r="G383" s="1737"/>
      <c r="H383" s="1737"/>
      <c r="I383" s="1737"/>
      <c r="J383" s="1737"/>
      <c r="K383" s="1737"/>
      <c r="L383" s="1737"/>
      <c r="M383" s="1737"/>
    </row>
    <row r="384" spans="1:13" x14ac:dyDescent="0.2">
      <c r="A384" s="722" t="s">
        <v>281</v>
      </c>
      <c r="B384" s="1152" t="s">
        <v>92</v>
      </c>
      <c r="C384" s="1761" t="s">
        <v>93</v>
      </c>
      <c r="D384" s="1762"/>
      <c r="E384" s="1762"/>
      <c r="F384" s="1762"/>
      <c r="G384" s="1762"/>
      <c r="H384" s="1762"/>
      <c r="I384" s="1763"/>
      <c r="J384" s="1152" t="s">
        <v>94</v>
      </c>
      <c r="K384" s="1152" t="s">
        <v>35</v>
      </c>
      <c r="L384" s="1153" t="s">
        <v>95</v>
      </c>
      <c r="M384" s="1153" t="s">
        <v>86</v>
      </c>
    </row>
    <row r="385" spans="1:17" ht="51" customHeight="1" x14ac:dyDescent="0.2">
      <c r="A385" s="719" t="s">
        <v>282</v>
      </c>
      <c r="B385" s="58" t="s">
        <v>1257</v>
      </c>
      <c r="C385" s="1764" t="s">
        <v>1258</v>
      </c>
      <c r="D385" s="1765"/>
      <c r="E385" s="1765"/>
      <c r="F385" s="1765"/>
      <c r="G385" s="1765"/>
      <c r="H385" s="1765"/>
      <c r="I385" s="1766"/>
      <c r="J385" s="58" t="s">
        <v>236</v>
      </c>
      <c r="K385" s="599">
        <v>1</v>
      </c>
      <c r="L385" s="1183">
        <v>743.47</v>
      </c>
      <c r="M385" s="693">
        <f t="shared" ref="M385:M390" si="5">ROUND(L385*K385,2)</f>
        <v>743.47</v>
      </c>
    </row>
    <row r="386" spans="1:17" ht="51" customHeight="1" x14ac:dyDescent="0.2">
      <c r="A386" s="719" t="s">
        <v>282</v>
      </c>
      <c r="B386" s="58">
        <v>91305</v>
      </c>
      <c r="C386" s="1772" t="s">
        <v>522</v>
      </c>
      <c r="D386" s="1772"/>
      <c r="E386" s="1772"/>
      <c r="F386" s="1772"/>
      <c r="G386" s="1772"/>
      <c r="H386" s="1772"/>
      <c r="I386" s="1772"/>
      <c r="J386" s="58" t="s">
        <v>236</v>
      </c>
      <c r="K386" s="599">
        <v>1</v>
      </c>
      <c r="L386" s="1183">
        <v>93.23</v>
      </c>
      <c r="M386" s="693">
        <f t="shared" si="5"/>
        <v>93.23</v>
      </c>
    </row>
    <row r="387" spans="1:17" ht="34.5" customHeight="1" x14ac:dyDescent="0.2">
      <c r="A387" s="719" t="s">
        <v>282</v>
      </c>
      <c r="B387" s="58">
        <v>100866</v>
      </c>
      <c r="C387" s="1772" t="s">
        <v>264</v>
      </c>
      <c r="D387" s="1772"/>
      <c r="E387" s="1772"/>
      <c r="F387" s="1772"/>
      <c r="G387" s="1772"/>
      <c r="H387" s="1772"/>
      <c r="I387" s="1772"/>
      <c r="J387" s="58" t="s">
        <v>236</v>
      </c>
      <c r="K387" s="599">
        <v>2</v>
      </c>
      <c r="L387" s="1183">
        <v>290.67</v>
      </c>
      <c r="M387" s="693">
        <f t="shared" si="5"/>
        <v>581.34</v>
      </c>
    </row>
    <row r="388" spans="1:17" ht="34.5" customHeight="1" x14ac:dyDescent="0.2">
      <c r="A388" s="719" t="s">
        <v>445</v>
      </c>
      <c r="B388" s="58" t="s">
        <v>1191</v>
      </c>
      <c r="C388" s="1764" t="s">
        <v>1192</v>
      </c>
      <c r="D388" s="1765"/>
      <c r="E388" s="1765"/>
      <c r="F388" s="1765"/>
      <c r="G388" s="1765"/>
      <c r="H388" s="1765"/>
      <c r="I388" s="1766"/>
      <c r="J388" s="58" t="s">
        <v>252</v>
      </c>
      <c r="K388" s="599">
        <f>0.4*0.9</f>
        <v>0.36000000000000004</v>
      </c>
      <c r="L388" s="1183">
        <v>824.28</v>
      </c>
      <c r="M388" s="693">
        <f t="shared" si="5"/>
        <v>296.74</v>
      </c>
    </row>
    <row r="389" spans="1:17" x14ac:dyDescent="0.2">
      <c r="A389" s="719" t="s">
        <v>282</v>
      </c>
      <c r="B389" s="58">
        <v>88309</v>
      </c>
      <c r="C389" s="1772" t="s">
        <v>374</v>
      </c>
      <c r="D389" s="1772"/>
      <c r="E389" s="1772"/>
      <c r="F389" s="1772"/>
      <c r="G389" s="1772"/>
      <c r="H389" s="1772"/>
      <c r="I389" s="1772"/>
      <c r="J389" s="58" t="s">
        <v>217</v>
      </c>
      <c r="K389" s="720">
        <v>2.024</v>
      </c>
      <c r="L389" s="1183">
        <v>21.31</v>
      </c>
      <c r="M389" s="693">
        <f t="shared" si="5"/>
        <v>43.13</v>
      </c>
    </row>
    <row r="390" spans="1:17" x14ac:dyDescent="0.2">
      <c r="A390" s="719" t="s">
        <v>282</v>
      </c>
      <c r="B390" s="58">
        <v>88316</v>
      </c>
      <c r="C390" s="1772" t="s">
        <v>99</v>
      </c>
      <c r="D390" s="1772"/>
      <c r="E390" s="1772"/>
      <c r="F390" s="1772"/>
      <c r="G390" s="1772"/>
      <c r="H390" s="1772"/>
      <c r="I390" s="1772"/>
      <c r="J390" s="58" t="s">
        <v>217</v>
      </c>
      <c r="K390" s="720">
        <v>1.1759999999999999</v>
      </c>
      <c r="L390" s="1183">
        <v>17.09</v>
      </c>
      <c r="M390" s="693">
        <f t="shared" si="5"/>
        <v>20.100000000000001</v>
      </c>
      <c r="Q390" s="721"/>
    </row>
    <row r="391" spans="1:17" x14ac:dyDescent="0.2">
      <c r="A391" s="1730" t="s">
        <v>1171</v>
      </c>
      <c r="B391" s="1725"/>
      <c r="C391" s="1725"/>
      <c r="D391" s="1725"/>
      <c r="E391" s="1725"/>
      <c r="F391" s="1725"/>
      <c r="G391" s="1725"/>
      <c r="H391" s="1725"/>
      <c r="I391" s="1725"/>
      <c r="J391" s="1725"/>
      <c r="K391" s="1725"/>
      <c r="L391" s="1731"/>
      <c r="M391" s="1154">
        <f>SUM(M385:M390)</f>
        <v>1778.01</v>
      </c>
    </row>
    <row r="393" spans="1:17" x14ac:dyDescent="0.2">
      <c r="A393" s="290" t="s">
        <v>32</v>
      </c>
      <c r="B393" s="1730" t="s">
        <v>131</v>
      </c>
      <c r="C393" s="1725"/>
      <c r="D393" s="1725"/>
      <c r="E393" s="1725"/>
      <c r="F393" s="1725"/>
      <c r="G393" s="1725"/>
      <c r="H393" s="1725"/>
      <c r="I393" s="1725"/>
      <c r="J393" s="1725"/>
      <c r="K393" s="1725"/>
      <c r="L393" s="1726"/>
      <c r="M393" s="1143"/>
    </row>
    <row r="394" spans="1:17" x14ac:dyDescent="0.2">
      <c r="A394" s="1462" t="str">
        <f>ORÇ!A342</f>
        <v>14.3.2</v>
      </c>
      <c r="B394" s="1463"/>
      <c r="C394" s="1721" t="s">
        <v>368</v>
      </c>
      <c r="D394" s="1722"/>
      <c r="E394" s="1722"/>
      <c r="F394" s="1722"/>
      <c r="G394" s="1722"/>
      <c r="H394" s="1722"/>
      <c r="I394" s="1722"/>
      <c r="J394" s="1722"/>
      <c r="K394" s="1723"/>
      <c r="L394" s="1147" t="s">
        <v>1173</v>
      </c>
      <c r="M394" s="1464" t="s">
        <v>96</v>
      </c>
    </row>
    <row r="395" spans="1:17" x14ac:dyDescent="0.2">
      <c r="A395" s="1730" t="s">
        <v>663</v>
      </c>
      <c r="B395" s="1725"/>
      <c r="C395" s="1725"/>
      <c r="D395" s="1725"/>
      <c r="E395" s="1725"/>
      <c r="F395" s="1725"/>
      <c r="G395" s="1725"/>
      <c r="H395" s="1725"/>
      <c r="I395" s="1725"/>
      <c r="J395" s="1725"/>
      <c r="K395" s="1725"/>
      <c r="L395" s="1725"/>
      <c r="M395" s="1726"/>
    </row>
    <row r="396" spans="1:17" x14ac:dyDescent="0.2">
      <c r="A396" s="294" t="s">
        <v>281</v>
      </c>
      <c r="B396" s="1347" t="s">
        <v>92</v>
      </c>
      <c r="C396" s="1144"/>
      <c r="D396" s="1145"/>
      <c r="E396" s="1145"/>
      <c r="F396" s="1145" t="s">
        <v>93</v>
      </c>
      <c r="G396" s="1145"/>
      <c r="H396" s="1145"/>
      <c r="I396" s="1146"/>
      <c r="J396" s="1349" t="s">
        <v>94</v>
      </c>
      <c r="K396" s="1349" t="s">
        <v>35</v>
      </c>
      <c r="L396" s="1147" t="s">
        <v>95</v>
      </c>
      <c r="M396" s="1465" t="s">
        <v>86</v>
      </c>
    </row>
    <row r="397" spans="1:17" ht="22.5" customHeight="1" x14ac:dyDescent="0.2">
      <c r="A397" s="601" t="s">
        <v>445</v>
      </c>
      <c r="B397" s="1278">
        <v>11708</v>
      </c>
      <c r="C397" s="1757" t="s">
        <v>371</v>
      </c>
      <c r="D397" s="1758"/>
      <c r="E397" s="1758"/>
      <c r="F397" s="1758"/>
      <c r="G397" s="1758"/>
      <c r="H397" s="1758"/>
      <c r="I397" s="1759"/>
      <c r="J397" s="602" t="s">
        <v>236</v>
      </c>
      <c r="K397" s="603">
        <v>1</v>
      </c>
      <c r="L397" s="1470">
        <v>21.31</v>
      </c>
      <c r="M397" s="693">
        <f t="shared" ref="M397:M400" si="6">ROUND(K397*L397,2)</f>
        <v>21.31</v>
      </c>
    </row>
    <row r="398" spans="1:17" ht="42.75" customHeight="1" x14ac:dyDescent="0.2">
      <c r="A398" s="601" t="s">
        <v>282</v>
      </c>
      <c r="B398" s="1278">
        <v>87316</v>
      </c>
      <c r="C398" s="1757" t="s">
        <v>372</v>
      </c>
      <c r="D398" s="1758"/>
      <c r="E398" s="1758"/>
      <c r="F398" s="1758"/>
      <c r="G398" s="1758"/>
      <c r="H398" s="1758"/>
      <c r="I398" s="1759"/>
      <c r="J398" s="602" t="s">
        <v>373</v>
      </c>
      <c r="K398" s="603">
        <v>0.01</v>
      </c>
      <c r="L398" s="1470">
        <v>504.72</v>
      </c>
      <c r="M398" s="693">
        <f t="shared" si="6"/>
        <v>5.05</v>
      </c>
    </row>
    <row r="399" spans="1:17" x14ac:dyDescent="0.2">
      <c r="A399" s="601" t="s">
        <v>282</v>
      </c>
      <c r="B399" s="1278">
        <v>88309</v>
      </c>
      <c r="C399" s="1757" t="s">
        <v>374</v>
      </c>
      <c r="D399" s="1758"/>
      <c r="E399" s="1758"/>
      <c r="F399" s="1758"/>
      <c r="G399" s="1758"/>
      <c r="H399" s="1758"/>
      <c r="I399" s="1759"/>
      <c r="J399" s="602" t="s">
        <v>217</v>
      </c>
      <c r="K399" s="603">
        <v>1.6</v>
      </c>
      <c r="L399" s="1470">
        <v>21.31</v>
      </c>
      <c r="M399" s="693">
        <f t="shared" si="6"/>
        <v>34.1</v>
      </c>
    </row>
    <row r="400" spans="1:17" x14ac:dyDescent="0.2">
      <c r="A400" s="601" t="s">
        <v>282</v>
      </c>
      <c r="B400" s="1278">
        <v>88316</v>
      </c>
      <c r="C400" s="1757" t="s">
        <v>99</v>
      </c>
      <c r="D400" s="1758"/>
      <c r="E400" s="1758"/>
      <c r="F400" s="1758"/>
      <c r="G400" s="1758"/>
      <c r="H400" s="1758"/>
      <c r="I400" s="1759"/>
      <c r="J400" s="602" t="s">
        <v>217</v>
      </c>
      <c r="K400" s="603">
        <v>1.6</v>
      </c>
      <c r="L400" s="1470">
        <v>17.09</v>
      </c>
      <c r="M400" s="693">
        <f t="shared" si="6"/>
        <v>27.34</v>
      </c>
    </row>
    <row r="401" spans="1:14" x14ac:dyDescent="0.2">
      <c r="A401" s="605"/>
      <c r="B401" s="1471"/>
      <c r="C401" s="1725" t="s">
        <v>1171</v>
      </c>
      <c r="D401" s="1725"/>
      <c r="E401" s="1725"/>
      <c r="F401" s="1725"/>
      <c r="G401" s="1725"/>
      <c r="H401" s="1725"/>
      <c r="I401" s="1725"/>
      <c r="J401" s="1731"/>
      <c r="K401" s="1344"/>
      <c r="L401" s="161"/>
      <c r="M401" s="1148">
        <f>SUM(M397:M400)</f>
        <v>87.8</v>
      </c>
    </row>
    <row r="403" spans="1:14" x14ac:dyDescent="0.2">
      <c r="A403" s="290" t="s">
        <v>375</v>
      </c>
      <c r="B403" s="1730" t="s">
        <v>131</v>
      </c>
      <c r="C403" s="1725"/>
      <c r="D403" s="1725"/>
      <c r="E403" s="1725"/>
      <c r="F403" s="1725"/>
      <c r="G403" s="1725"/>
      <c r="H403" s="1725"/>
      <c r="I403" s="1725"/>
      <c r="J403" s="1725"/>
      <c r="K403" s="1725"/>
      <c r="L403" s="1726"/>
      <c r="M403" s="1143"/>
    </row>
    <row r="404" spans="1:14" ht="48" customHeight="1" x14ac:dyDescent="0.2">
      <c r="A404" s="291" t="str">
        <f>ORÇ!A384</f>
        <v>15.2</v>
      </c>
      <c r="B404" s="623"/>
      <c r="C404" s="1727" t="s">
        <v>213</v>
      </c>
      <c r="D404" s="1728"/>
      <c r="E404" s="1728"/>
      <c r="F404" s="1728"/>
      <c r="G404" s="1728"/>
      <c r="H404" s="1728"/>
      <c r="I404" s="1728"/>
      <c r="J404" s="1728"/>
      <c r="K404" s="1729"/>
      <c r="L404" s="1147" t="s">
        <v>1173</v>
      </c>
      <c r="M404" s="613" t="s">
        <v>96</v>
      </c>
    </row>
    <row r="405" spans="1:14" x14ac:dyDescent="0.2">
      <c r="A405" s="1730" t="s">
        <v>682</v>
      </c>
      <c r="B405" s="1725"/>
      <c r="C405" s="1725"/>
      <c r="D405" s="1725"/>
      <c r="E405" s="1725"/>
      <c r="F405" s="1725"/>
      <c r="G405" s="1725"/>
      <c r="H405" s="1725"/>
      <c r="I405" s="1725"/>
      <c r="J405" s="1725"/>
      <c r="K405" s="1725"/>
      <c r="L405" s="1725"/>
      <c r="M405" s="1726"/>
    </row>
    <row r="406" spans="1:14" x14ac:dyDescent="0.2">
      <c r="A406" s="294" t="s">
        <v>281</v>
      </c>
      <c r="B406" s="624" t="s">
        <v>92</v>
      </c>
      <c r="C406" s="1144"/>
      <c r="D406" s="1145"/>
      <c r="E406" s="1145"/>
      <c r="F406" s="1145" t="s">
        <v>93</v>
      </c>
      <c r="G406" s="1145"/>
      <c r="H406" s="1145"/>
      <c r="I406" s="1146"/>
      <c r="J406" s="667" t="s">
        <v>94</v>
      </c>
      <c r="K406" s="667" t="s">
        <v>35</v>
      </c>
      <c r="L406" s="1147" t="s">
        <v>95</v>
      </c>
      <c r="M406" s="1170" t="s">
        <v>86</v>
      </c>
    </row>
    <row r="407" spans="1:14" x14ac:dyDescent="0.2">
      <c r="A407" s="601" t="s">
        <v>282</v>
      </c>
      <c r="B407" s="626">
        <v>88242</v>
      </c>
      <c r="C407" s="1774" t="s">
        <v>377</v>
      </c>
      <c r="D407" s="1775"/>
      <c r="E407" s="1775"/>
      <c r="F407" s="1775"/>
      <c r="G407" s="1775"/>
      <c r="H407" s="1775"/>
      <c r="I407" s="1776"/>
      <c r="J407" s="602" t="s">
        <v>217</v>
      </c>
      <c r="K407" s="603">
        <v>0.2</v>
      </c>
      <c r="L407" s="1182">
        <v>17.13</v>
      </c>
      <c r="M407" s="693">
        <f t="shared" ref="M407:M408" si="7">ROUND(K407*L407,2)</f>
        <v>3.43</v>
      </c>
    </row>
    <row r="408" spans="1:14" ht="53.25" customHeight="1" x14ac:dyDescent="0.2">
      <c r="A408" s="1134" t="s">
        <v>445</v>
      </c>
      <c r="B408" s="629">
        <v>37558</v>
      </c>
      <c r="C408" s="1748" t="s">
        <v>378</v>
      </c>
      <c r="D408" s="1749"/>
      <c r="E408" s="1749"/>
      <c r="F408" s="1749"/>
      <c r="G408" s="1749"/>
      <c r="H408" s="1749"/>
      <c r="I408" s="1750"/>
      <c r="J408" s="604" t="s">
        <v>236</v>
      </c>
      <c r="K408" s="603">
        <v>1</v>
      </c>
      <c r="L408" s="162">
        <v>30.76</v>
      </c>
      <c r="M408" s="693">
        <f t="shared" si="7"/>
        <v>30.76</v>
      </c>
    </row>
    <row r="409" spans="1:14" x14ac:dyDescent="0.2">
      <c r="A409" s="605"/>
      <c r="B409" s="627"/>
      <c r="C409" s="1730" t="s">
        <v>1171</v>
      </c>
      <c r="D409" s="1725"/>
      <c r="E409" s="1725"/>
      <c r="F409" s="1725"/>
      <c r="G409" s="1725"/>
      <c r="H409" s="1725"/>
      <c r="I409" s="1725"/>
      <c r="J409" s="1731"/>
      <c r="K409" s="669"/>
      <c r="L409" s="161"/>
      <c r="M409" s="1148">
        <f>SUM(M407:M408)</f>
        <v>34.190000000000005</v>
      </c>
    </row>
    <row r="410" spans="1:14" x14ac:dyDescent="0.2">
      <c r="A410" s="606"/>
      <c r="B410" s="628"/>
      <c r="C410" s="1155"/>
      <c r="D410" s="1155"/>
      <c r="E410" s="1155"/>
      <c r="F410" s="1155"/>
      <c r="G410" s="1155"/>
      <c r="H410" s="1155"/>
      <c r="I410" s="1155"/>
      <c r="J410" s="1155"/>
      <c r="K410" s="1155"/>
      <c r="L410" s="607"/>
      <c r="M410" s="1156"/>
    </row>
    <row r="411" spans="1:14" x14ac:dyDescent="0.2">
      <c r="A411" s="290" t="s">
        <v>375</v>
      </c>
      <c r="B411" s="1730" t="s">
        <v>131</v>
      </c>
      <c r="C411" s="1725"/>
      <c r="D411" s="1725"/>
      <c r="E411" s="1725"/>
      <c r="F411" s="1725"/>
      <c r="G411" s="1725"/>
      <c r="H411" s="1725"/>
      <c r="I411" s="1725"/>
      <c r="J411" s="1725"/>
      <c r="K411" s="1725"/>
      <c r="L411" s="1726"/>
      <c r="M411" s="1143"/>
    </row>
    <row r="412" spans="1:14" ht="39.75" customHeight="1" x14ac:dyDescent="0.2">
      <c r="A412" s="291" t="str">
        <f>ORÇ!A385</f>
        <v>15.3</v>
      </c>
      <c r="B412" s="623"/>
      <c r="C412" s="1727" t="s">
        <v>266</v>
      </c>
      <c r="D412" s="1728"/>
      <c r="E412" s="1728"/>
      <c r="F412" s="1728"/>
      <c r="G412" s="1728"/>
      <c r="H412" s="1728"/>
      <c r="I412" s="1728"/>
      <c r="J412" s="1728"/>
      <c r="K412" s="1729"/>
      <c r="L412" s="1147" t="s">
        <v>1173</v>
      </c>
      <c r="M412" s="613" t="s">
        <v>96</v>
      </c>
    </row>
    <row r="413" spans="1:14" x14ac:dyDescent="0.2">
      <c r="A413" s="1730" t="s">
        <v>812</v>
      </c>
      <c r="B413" s="1725"/>
      <c r="C413" s="1725"/>
      <c r="D413" s="1725"/>
      <c r="E413" s="1725"/>
      <c r="F413" s="1725"/>
      <c r="G413" s="1725"/>
      <c r="H413" s="1725"/>
      <c r="I413" s="1725"/>
      <c r="J413" s="1725"/>
      <c r="K413" s="1725"/>
      <c r="L413" s="1725"/>
      <c r="M413" s="1726"/>
      <c r="N413" s="293"/>
    </row>
    <row r="414" spans="1:14" x14ac:dyDescent="0.2">
      <c r="A414" s="294" t="s">
        <v>281</v>
      </c>
      <c r="B414" s="624" t="s">
        <v>92</v>
      </c>
      <c r="C414" s="1144"/>
      <c r="D414" s="1145"/>
      <c r="E414" s="1145"/>
      <c r="F414" s="1145" t="s">
        <v>93</v>
      </c>
      <c r="G414" s="1145"/>
      <c r="H414" s="1145"/>
      <c r="I414" s="1146"/>
      <c r="J414" s="667" t="s">
        <v>94</v>
      </c>
      <c r="K414" s="667" t="s">
        <v>35</v>
      </c>
      <c r="L414" s="1147" t="s">
        <v>95</v>
      </c>
      <c r="M414" s="1147" t="s">
        <v>86</v>
      </c>
    </row>
    <row r="415" spans="1:14" x14ac:dyDescent="0.2">
      <c r="A415" s="601" t="s">
        <v>282</v>
      </c>
      <c r="B415" s="626">
        <v>88242</v>
      </c>
      <c r="C415" s="1774" t="s">
        <v>377</v>
      </c>
      <c r="D415" s="1775"/>
      <c r="E415" s="1775"/>
      <c r="F415" s="1775"/>
      <c r="G415" s="1775"/>
      <c r="H415" s="1775"/>
      <c r="I415" s="1776"/>
      <c r="J415" s="602" t="s">
        <v>217</v>
      </c>
      <c r="K415" s="603">
        <v>0.2</v>
      </c>
      <c r="L415" s="1182">
        <v>17.13</v>
      </c>
      <c r="M415" s="693">
        <f t="shared" ref="M415:M416" si="8">ROUND(K415*L415,2)</f>
        <v>3.43</v>
      </c>
    </row>
    <row r="416" spans="1:14" ht="51" customHeight="1" x14ac:dyDescent="0.2">
      <c r="A416" s="1134" t="s">
        <v>445</v>
      </c>
      <c r="B416" s="629">
        <v>37556</v>
      </c>
      <c r="C416" s="1748" t="s">
        <v>266</v>
      </c>
      <c r="D416" s="1749"/>
      <c r="E416" s="1749"/>
      <c r="F416" s="1749"/>
      <c r="G416" s="1749"/>
      <c r="H416" s="1749"/>
      <c r="I416" s="1750"/>
      <c r="J416" s="604" t="s">
        <v>236</v>
      </c>
      <c r="K416" s="603">
        <v>1</v>
      </c>
      <c r="L416" s="162">
        <v>19.079999999999998</v>
      </c>
      <c r="M416" s="693">
        <f t="shared" si="8"/>
        <v>19.079999999999998</v>
      </c>
    </row>
    <row r="417" spans="1:13" x14ac:dyDescent="0.2">
      <c r="A417" s="605"/>
      <c r="B417" s="627"/>
      <c r="C417" s="1730" t="s">
        <v>1171</v>
      </c>
      <c r="D417" s="1725"/>
      <c r="E417" s="1725"/>
      <c r="F417" s="1725"/>
      <c r="G417" s="1725"/>
      <c r="H417" s="1725"/>
      <c r="I417" s="1725"/>
      <c r="J417" s="1731"/>
      <c r="K417" s="669"/>
      <c r="L417" s="161"/>
      <c r="M417" s="1148">
        <f>SUM(M415:M416)</f>
        <v>22.509999999999998</v>
      </c>
    </row>
    <row r="419" spans="1:13" x14ac:dyDescent="0.2">
      <c r="A419" s="290" t="s">
        <v>32</v>
      </c>
      <c r="B419" s="1730" t="s">
        <v>131</v>
      </c>
      <c r="C419" s="1725"/>
      <c r="D419" s="1725"/>
      <c r="E419" s="1725"/>
      <c r="F419" s="1725"/>
      <c r="G419" s="1725"/>
      <c r="H419" s="1725"/>
      <c r="I419" s="1725"/>
      <c r="J419" s="1725"/>
      <c r="K419" s="1725"/>
      <c r="L419" s="1726"/>
      <c r="M419" s="1143"/>
    </row>
    <row r="420" spans="1:13" ht="31.5" customHeight="1" x14ac:dyDescent="0.2">
      <c r="A420" s="1462" t="str">
        <f>ORÇ!A339</f>
        <v>14.2.10</v>
      </c>
      <c r="B420" s="1463"/>
      <c r="C420" s="1721" t="s">
        <v>558</v>
      </c>
      <c r="D420" s="1722"/>
      <c r="E420" s="1722"/>
      <c r="F420" s="1722"/>
      <c r="G420" s="1722"/>
      <c r="H420" s="1722"/>
      <c r="I420" s="1722"/>
      <c r="J420" s="1722"/>
      <c r="K420" s="1723"/>
      <c r="L420" s="1147" t="s">
        <v>1173</v>
      </c>
      <c r="M420" s="1464" t="s">
        <v>96</v>
      </c>
    </row>
    <row r="421" spans="1:13" x14ac:dyDescent="0.2">
      <c r="A421" s="1730" t="s">
        <v>813</v>
      </c>
      <c r="B421" s="1725"/>
      <c r="C421" s="1725"/>
      <c r="D421" s="1725"/>
      <c r="E421" s="1725"/>
      <c r="F421" s="1725"/>
      <c r="G421" s="1725"/>
      <c r="H421" s="1725"/>
      <c r="I421" s="1725"/>
      <c r="J421" s="1725"/>
      <c r="K421" s="1725"/>
      <c r="L421" s="1725"/>
      <c r="M421" s="1726"/>
    </row>
    <row r="422" spans="1:13" x14ac:dyDescent="0.2">
      <c r="A422" s="294" t="s">
        <v>281</v>
      </c>
      <c r="B422" s="1347" t="s">
        <v>92</v>
      </c>
      <c r="C422" s="1144"/>
      <c r="D422" s="1145"/>
      <c r="E422" s="1145"/>
      <c r="F422" s="1145" t="s">
        <v>93</v>
      </c>
      <c r="G422" s="1145"/>
      <c r="H422" s="1145"/>
      <c r="I422" s="1146"/>
      <c r="J422" s="1349" t="s">
        <v>94</v>
      </c>
      <c r="K422" s="1349" t="s">
        <v>35</v>
      </c>
      <c r="L422" s="1147" t="s">
        <v>95</v>
      </c>
      <c r="M422" s="1465" t="s">
        <v>86</v>
      </c>
    </row>
    <row r="423" spans="1:13" ht="15.75" customHeight="1" x14ac:dyDescent="0.2">
      <c r="A423" s="629" t="s">
        <v>445</v>
      </c>
      <c r="B423" s="1278">
        <v>37104</v>
      </c>
      <c r="C423" s="1757" t="s">
        <v>559</v>
      </c>
      <c r="D423" s="1758"/>
      <c r="E423" s="1758"/>
      <c r="F423" s="1758"/>
      <c r="G423" s="1758"/>
      <c r="H423" s="1758"/>
      <c r="I423" s="1759"/>
      <c r="J423" s="602" t="s">
        <v>236</v>
      </c>
      <c r="K423" s="603">
        <v>1</v>
      </c>
      <c r="L423" s="1470">
        <v>1276.26</v>
      </c>
      <c r="M423" s="693">
        <f t="shared" ref="M423:M426" si="9">ROUND(K423*L423,2)</f>
        <v>1276.26</v>
      </c>
    </row>
    <row r="424" spans="1:13" ht="30.75" customHeight="1" x14ac:dyDescent="0.2">
      <c r="A424" s="629" t="s">
        <v>282</v>
      </c>
      <c r="B424" s="1278">
        <v>102591</v>
      </c>
      <c r="C424" s="1757" t="s">
        <v>557</v>
      </c>
      <c r="D424" s="1758"/>
      <c r="E424" s="1758"/>
      <c r="F424" s="1758"/>
      <c r="G424" s="1758"/>
      <c r="H424" s="1758"/>
      <c r="I424" s="1759"/>
      <c r="J424" s="602" t="s">
        <v>236</v>
      </c>
      <c r="K424" s="603">
        <v>4</v>
      </c>
      <c r="L424" s="1470">
        <v>3.22</v>
      </c>
      <c r="M424" s="693">
        <f t="shared" si="9"/>
        <v>12.88</v>
      </c>
    </row>
    <row r="425" spans="1:13" ht="27" customHeight="1" x14ac:dyDescent="0.2">
      <c r="A425" s="629" t="s">
        <v>282</v>
      </c>
      <c r="B425" s="1278">
        <v>88248</v>
      </c>
      <c r="C425" s="1757" t="s">
        <v>560</v>
      </c>
      <c r="D425" s="1758"/>
      <c r="E425" s="1758"/>
      <c r="F425" s="1758"/>
      <c r="G425" s="1758"/>
      <c r="H425" s="1758"/>
      <c r="I425" s="1759"/>
      <c r="J425" s="602" t="s">
        <v>217</v>
      </c>
      <c r="K425" s="603">
        <v>0.25</v>
      </c>
      <c r="L425" s="1470">
        <v>16.989999999999998</v>
      </c>
      <c r="M425" s="693">
        <f t="shared" si="9"/>
        <v>4.25</v>
      </c>
    </row>
    <row r="426" spans="1:13" ht="39" customHeight="1" x14ac:dyDescent="0.2">
      <c r="A426" s="629" t="s">
        <v>282</v>
      </c>
      <c r="B426" s="1278">
        <v>88267</v>
      </c>
      <c r="C426" s="1757" t="s">
        <v>401</v>
      </c>
      <c r="D426" s="1758"/>
      <c r="E426" s="1758"/>
      <c r="F426" s="1758"/>
      <c r="G426" s="1758"/>
      <c r="H426" s="1758"/>
      <c r="I426" s="1759"/>
      <c r="J426" s="602" t="s">
        <v>217</v>
      </c>
      <c r="K426" s="603">
        <v>0.25</v>
      </c>
      <c r="L426" s="1470">
        <v>20.7</v>
      </c>
      <c r="M426" s="693">
        <f t="shared" si="9"/>
        <v>5.18</v>
      </c>
    </row>
    <row r="427" spans="1:13" x14ac:dyDescent="0.2">
      <c r="A427" s="605"/>
      <c r="B427" s="1471"/>
      <c r="C427" s="1725" t="s">
        <v>1171</v>
      </c>
      <c r="D427" s="1725"/>
      <c r="E427" s="1725"/>
      <c r="F427" s="1725"/>
      <c r="G427" s="1725"/>
      <c r="H427" s="1725"/>
      <c r="I427" s="1725"/>
      <c r="J427" s="1731"/>
      <c r="K427" s="1344"/>
      <c r="L427" s="161"/>
      <c r="M427" s="1148">
        <f>SUM(M423:M426)</f>
        <v>1298.5700000000002</v>
      </c>
    </row>
    <row r="429" spans="1:13" x14ac:dyDescent="0.2">
      <c r="A429" s="290" t="s">
        <v>32</v>
      </c>
      <c r="B429" s="1730" t="s">
        <v>131</v>
      </c>
      <c r="C429" s="1725"/>
      <c r="D429" s="1725"/>
      <c r="E429" s="1725"/>
      <c r="F429" s="1725"/>
      <c r="G429" s="1725"/>
      <c r="H429" s="1725"/>
      <c r="I429" s="1725"/>
      <c r="J429" s="1725"/>
      <c r="K429" s="1725"/>
      <c r="L429" s="1726"/>
      <c r="M429" s="1143"/>
    </row>
    <row r="430" spans="1:13" ht="39" customHeight="1" x14ac:dyDescent="0.2">
      <c r="A430" s="1462" t="str">
        <f>ORÇ!A417</f>
        <v>16.8</v>
      </c>
      <c r="B430" s="1463"/>
      <c r="C430" s="1721" t="s">
        <v>536</v>
      </c>
      <c r="D430" s="1722"/>
      <c r="E430" s="1722"/>
      <c r="F430" s="1722"/>
      <c r="G430" s="1722"/>
      <c r="H430" s="1722"/>
      <c r="I430" s="1722"/>
      <c r="J430" s="1722"/>
      <c r="K430" s="1723"/>
      <c r="L430" s="1147" t="s">
        <v>1173</v>
      </c>
      <c r="M430" s="1464" t="s">
        <v>96</v>
      </c>
    </row>
    <row r="431" spans="1:13" x14ac:dyDescent="0.2">
      <c r="A431" s="1730" t="s">
        <v>814</v>
      </c>
      <c r="B431" s="1725"/>
      <c r="C431" s="1725"/>
      <c r="D431" s="1725"/>
      <c r="E431" s="1725"/>
      <c r="F431" s="1725"/>
      <c r="G431" s="1725"/>
      <c r="H431" s="1725"/>
      <c r="I431" s="1725"/>
      <c r="J431" s="1725"/>
      <c r="K431" s="1725"/>
      <c r="L431" s="1725"/>
      <c r="M431" s="1726"/>
    </row>
    <row r="432" spans="1:13" x14ac:dyDescent="0.2">
      <c r="A432" s="294" t="s">
        <v>281</v>
      </c>
      <c r="B432" s="1347" t="s">
        <v>92</v>
      </c>
      <c r="C432" s="1144"/>
      <c r="D432" s="1145"/>
      <c r="E432" s="1145"/>
      <c r="F432" s="1145" t="s">
        <v>93</v>
      </c>
      <c r="G432" s="1145"/>
      <c r="H432" s="1145"/>
      <c r="I432" s="1146"/>
      <c r="J432" s="1349" t="s">
        <v>94</v>
      </c>
      <c r="K432" s="1349" t="s">
        <v>35</v>
      </c>
      <c r="L432" s="1147" t="s">
        <v>95</v>
      </c>
      <c r="M432" s="1147" t="s">
        <v>86</v>
      </c>
    </row>
    <row r="433" spans="1:13" x14ac:dyDescent="0.2">
      <c r="A433" s="629" t="s">
        <v>445</v>
      </c>
      <c r="B433" s="1278">
        <v>4823</v>
      </c>
      <c r="C433" s="1748" t="s">
        <v>402</v>
      </c>
      <c r="D433" s="1749"/>
      <c r="E433" s="1749"/>
      <c r="F433" s="1749"/>
      <c r="G433" s="1749"/>
      <c r="H433" s="1749"/>
      <c r="I433" s="1750"/>
      <c r="J433" s="602" t="s">
        <v>216</v>
      </c>
      <c r="K433" s="603">
        <f>ROUND((0.5228*1.9),2)</f>
        <v>0.99</v>
      </c>
      <c r="L433" s="1470">
        <v>49.68</v>
      </c>
      <c r="M433" s="693">
        <f t="shared" ref="M433:M442" si="10">ROUND(K433*L433,2)</f>
        <v>49.18</v>
      </c>
    </row>
    <row r="434" spans="1:13" ht="38.25" customHeight="1" x14ac:dyDescent="0.2">
      <c r="A434" s="629" t="s">
        <v>445</v>
      </c>
      <c r="B434" s="1278">
        <v>7568</v>
      </c>
      <c r="C434" s="1748" t="s">
        <v>403</v>
      </c>
      <c r="D434" s="1749"/>
      <c r="E434" s="1749"/>
      <c r="F434" s="1749"/>
      <c r="G434" s="1749"/>
      <c r="H434" s="1749"/>
      <c r="I434" s="1750"/>
      <c r="J434" s="602" t="s">
        <v>236</v>
      </c>
      <c r="K434" s="603">
        <v>9</v>
      </c>
      <c r="L434" s="1470">
        <v>0.92</v>
      </c>
      <c r="M434" s="693">
        <f t="shared" si="10"/>
        <v>8.2799999999999994</v>
      </c>
    </row>
    <row r="435" spans="1:13" ht="47.25" customHeight="1" x14ac:dyDescent="0.2">
      <c r="A435" s="629" t="s">
        <v>445</v>
      </c>
      <c r="B435" s="1278">
        <v>11795</v>
      </c>
      <c r="C435" s="1748" t="s">
        <v>404</v>
      </c>
      <c r="D435" s="1749"/>
      <c r="E435" s="1749"/>
      <c r="F435" s="1749"/>
      <c r="G435" s="1749"/>
      <c r="H435" s="1749"/>
      <c r="I435" s="1750"/>
      <c r="J435" s="602" t="s">
        <v>252</v>
      </c>
      <c r="K435" s="603">
        <f>4*0.6</f>
        <v>2.4</v>
      </c>
      <c r="L435" s="1470">
        <v>475.47</v>
      </c>
      <c r="M435" s="693">
        <f t="shared" si="10"/>
        <v>1141.1300000000001</v>
      </c>
    </row>
    <row r="436" spans="1:13" ht="23.25" customHeight="1" x14ac:dyDescent="0.2">
      <c r="A436" s="629" t="s">
        <v>445</v>
      </c>
      <c r="B436" s="1278">
        <v>37329</v>
      </c>
      <c r="C436" s="1748" t="s">
        <v>405</v>
      </c>
      <c r="D436" s="1749"/>
      <c r="E436" s="1749"/>
      <c r="F436" s="1749"/>
      <c r="G436" s="1749"/>
      <c r="H436" s="1749"/>
      <c r="I436" s="1750"/>
      <c r="J436" s="602" t="s">
        <v>216</v>
      </c>
      <c r="K436" s="603">
        <f>ROUND((0.0211*1.9),2)</f>
        <v>0.04</v>
      </c>
      <c r="L436" s="1470">
        <v>86.57</v>
      </c>
      <c r="M436" s="693">
        <f t="shared" si="10"/>
        <v>3.46</v>
      </c>
    </row>
    <row r="437" spans="1:13" ht="45" customHeight="1" x14ac:dyDescent="0.2">
      <c r="A437" s="629" t="s">
        <v>282</v>
      </c>
      <c r="B437" s="1278">
        <v>86937</v>
      </c>
      <c r="C437" s="1748" t="s">
        <v>407</v>
      </c>
      <c r="D437" s="1749"/>
      <c r="E437" s="1749"/>
      <c r="F437" s="1749"/>
      <c r="G437" s="1749"/>
      <c r="H437" s="1749"/>
      <c r="I437" s="1750"/>
      <c r="J437" s="602" t="s">
        <v>236</v>
      </c>
      <c r="K437" s="603">
        <v>4</v>
      </c>
      <c r="L437" s="1470">
        <v>206.16</v>
      </c>
      <c r="M437" s="693">
        <f t="shared" si="10"/>
        <v>824.64</v>
      </c>
    </row>
    <row r="438" spans="1:13" ht="34.5" customHeight="1" x14ac:dyDescent="0.2">
      <c r="A438" s="629" t="s">
        <v>282</v>
      </c>
      <c r="B438" s="1278">
        <v>86885</v>
      </c>
      <c r="C438" s="1748" t="s">
        <v>406</v>
      </c>
      <c r="D438" s="1749"/>
      <c r="E438" s="1749"/>
      <c r="F438" s="1749"/>
      <c r="G438" s="1749"/>
      <c r="H438" s="1749"/>
      <c r="I438" s="1750"/>
      <c r="J438" s="602" t="s">
        <v>236</v>
      </c>
      <c r="K438" s="603">
        <v>4</v>
      </c>
      <c r="L438" s="1470">
        <v>11.42</v>
      </c>
      <c r="M438" s="693">
        <f t="shared" si="10"/>
        <v>45.68</v>
      </c>
    </row>
    <row r="439" spans="1:13" ht="34.5" customHeight="1" x14ac:dyDescent="0.2">
      <c r="A439" s="629" t="s">
        <v>445</v>
      </c>
      <c r="B439" s="1278">
        <v>38605</v>
      </c>
      <c r="C439" s="1748" t="s">
        <v>408</v>
      </c>
      <c r="D439" s="1749"/>
      <c r="E439" s="1749"/>
      <c r="F439" s="1749"/>
      <c r="G439" s="1749"/>
      <c r="H439" s="1749"/>
      <c r="I439" s="1750"/>
      <c r="J439" s="602" t="s">
        <v>236</v>
      </c>
      <c r="K439" s="603">
        <v>4</v>
      </c>
      <c r="L439" s="1470">
        <v>146.6</v>
      </c>
      <c r="M439" s="693">
        <f t="shared" si="10"/>
        <v>586.4</v>
      </c>
    </row>
    <row r="440" spans="1:13" ht="34.5" customHeight="1" x14ac:dyDescent="0.2">
      <c r="A440" s="629" t="s">
        <v>445</v>
      </c>
      <c r="B440" s="1278">
        <v>38633</v>
      </c>
      <c r="C440" s="1748" t="s">
        <v>409</v>
      </c>
      <c r="D440" s="1749"/>
      <c r="E440" s="1749"/>
      <c r="F440" s="1749"/>
      <c r="G440" s="1749"/>
      <c r="H440" s="1749"/>
      <c r="I440" s="1750"/>
      <c r="J440" s="602" t="s">
        <v>236</v>
      </c>
      <c r="K440" s="603">
        <v>4</v>
      </c>
      <c r="L440" s="1470">
        <v>21.99</v>
      </c>
      <c r="M440" s="693">
        <f t="shared" si="10"/>
        <v>87.96</v>
      </c>
    </row>
    <row r="441" spans="1:13" ht="23.25" customHeight="1" x14ac:dyDescent="0.2">
      <c r="A441" s="629" t="s">
        <v>282</v>
      </c>
      <c r="B441" s="1278">
        <v>88274</v>
      </c>
      <c r="C441" s="1748" t="s">
        <v>410</v>
      </c>
      <c r="D441" s="1749"/>
      <c r="E441" s="1749"/>
      <c r="F441" s="1749"/>
      <c r="G441" s="1749"/>
      <c r="H441" s="1749"/>
      <c r="I441" s="1750"/>
      <c r="J441" s="602" t="s">
        <v>217</v>
      </c>
      <c r="K441" s="603">
        <f>ROUND((1.921*1.9),2)</f>
        <v>3.65</v>
      </c>
      <c r="L441" s="1470">
        <v>21.91</v>
      </c>
      <c r="M441" s="693">
        <f t="shared" si="10"/>
        <v>79.97</v>
      </c>
    </row>
    <row r="442" spans="1:13" ht="23.25" customHeight="1" x14ac:dyDescent="0.2">
      <c r="A442" s="629" t="s">
        <v>282</v>
      </c>
      <c r="B442" s="1278">
        <v>88316</v>
      </c>
      <c r="C442" s="1748" t="s">
        <v>99</v>
      </c>
      <c r="D442" s="1749"/>
      <c r="E442" s="1749"/>
      <c r="F442" s="1749"/>
      <c r="G442" s="1749"/>
      <c r="H442" s="1749"/>
      <c r="I442" s="1750"/>
      <c r="J442" s="602" t="s">
        <v>217</v>
      </c>
      <c r="K442" s="603">
        <f>ROUND((0.9811*1.9),2)</f>
        <v>1.86</v>
      </c>
      <c r="L442" s="1470">
        <v>17.09</v>
      </c>
      <c r="M442" s="693">
        <f t="shared" si="10"/>
        <v>31.79</v>
      </c>
    </row>
    <row r="443" spans="1:13" x14ac:dyDescent="0.2">
      <c r="A443" s="605"/>
      <c r="B443" s="1471"/>
      <c r="C443" s="1725" t="s">
        <v>1171</v>
      </c>
      <c r="D443" s="1725"/>
      <c r="E443" s="1725"/>
      <c r="F443" s="1725"/>
      <c r="G443" s="1725"/>
      <c r="H443" s="1725"/>
      <c r="I443" s="1725"/>
      <c r="J443" s="1731"/>
      <c r="K443" s="1344"/>
      <c r="L443" s="161"/>
      <c r="M443" s="1148">
        <f>SUM(M433:M442)</f>
        <v>2858.49</v>
      </c>
    </row>
    <row r="445" spans="1:13" x14ac:dyDescent="0.2">
      <c r="A445" s="290" t="s">
        <v>375</v>
      </c>
      <c r="B445" s="1730" t="s">
        <v>131</v>
      </c>
      <c r="C445" s="1725"/>
      <c r="D445" s="1725"/>
      <c r="E445" s="1725"/>
      <c r="F445" s="1725"/>
      <c r="G445" s="1725"/>
      <c r="H445" s="1725"/>
      <c r="I445" s="1725"/>
      <c r="J445" s="1725"/>
      <c r="K445" s="1725"/>
      <c r="L445" s="1726"/>
      <c r="M445" s="1143"/>
    </row>
    <row r="446" spans="1:13" ht="42" customHeight="1" x14ac:dyDescent="0.2">
      <c r="A446" s="1462" t="str">
        <f>ORÇ!A418</f>
        <v>16.9</v>
      </c>
      <c r="B446" s="1463"/>
      <c r="C446" s="1721" t="s">
        <v>1449</v>
      </c>
      <c r="D446" s="1722"/>
      <c r="E446" s="1722"/>
      <c r="F446" s="1722"/>
      <c r="G446" s="1722"/>
      <c r="H446" s="1722"/>
      <c r="I446" s="1722"/>
      <c r="J446" s="1722"/>
      <c r="K446" s="1723"/>
      <c r="L446" s="1147" t="s">
        <v>1173</v>
      </c>
      <c r="M446" s="1464" t="s">
        <v>96</v>
      </c>
    </row>
    <row r="447" spans="1:13" x14ac:dyDescent="0.2">
      <c r="A447" s="1730" t="s">
        <v>815</v>
      </c>
      <c r="B447" s="1725"/>
      <c r="C447" s="1725"/>
      <c r="D447" s="1725"/>
      <c r="E447" s="1725"/>
      <c r="F447" s="1725"/>
      <c r="G447" s="1725"/>
      <c r="H447" s="1725"/>
      <c r="I447" s="1725"/>
      <c r="J447" s="1725"/>
      <c r="K447" s="1725"/>
      <c r="L447" s="1725"/>
      <c r="M447" s="1726"/>
    </row>
    <row r="448" spans="1:13" x14ac:dyDescent="0.2">
      <c r="A448" s="294" t="s">
        <v>281</v>
      </c>
      <c r="B448" s="1347" t="s">
        <v>92</v>
      </c>
      <c r="C448" s="1144"/>
      <c r="D448" s="1145"/>
      <c r="E448" s="1145"/>
      <c r="F448" s="1145" t="s">
        <v>93</v>
      </c>
      <c r="G448" s="1145"/>
      <c r="H448" s="1145"/>
      <c r="I448" s="1146"/>
      <c r="J448" s="1349" t="s">
        <v>94</v>
      </c>
      <c r="K448" s="1349" t="s">
        <v>35</v>
      </c>
      <c r="L448" s="1147" t="s">
        <v>95</v>
      </c>
      <c r="M448" s="1465" t="s">
        <v>86</v>
      </c>
    </row>
    <row r="449" spans="1:13" s="329" customFormat="1" ht="32.25" customHeight="1" x14ac:dyDescent="0.2">
      <c r="A449" s="629" t="s">
        <v>282</v>
      </c>
      <c r="B449" s="1466">
        <v>86884</v>
      </c>
      <c r="C449" s="1748" t="s">
        <v>420</v>
      </c>
      <c r="D449" s="1749"/>
      <c r="E449" s="1749"/>
      <c r="F449" s="1749"/>
      <c r="G449" s="1749"/>
      <c r="H449" s="1749"/>
      <c r="I449" s="1750"/>
      <c r="J449" s="602" t="s">
        <v>236</v>
      </c>
      <c r="K449" s="603">
        <v>1</v>
      </c>
      <c r="L449" s="1467">
        <v>8.5399999999999991</v>
      </c>
      <c r="M449" s="693">
        <f t="shared" ref="M449:M461" si="11">ROUND(K449*L449,2)</f>
        <v>8.5399999999999991</v>
      </c>
    </row>
    <row r="450" spans="1:13" s="329" customFormat="1" ht="54" customHeight="1" x14ac:dyDescent="0.2">
      <c r="A450" s="629" t="s">
        <v>282</v>
      </c>
      <c r="B450" s="1466">
        <v>103328</v>
      </c>
      <c r="C450" s="1748" t="s">
        <v>1283</v>
      </c>
      <c r="D450" s="1749"/>
      <c r="E450" s="1749"/>
      <c r="F450" s="1749"/>
      <c r="G450" s="1749"/>
      <c r="H450" s="1749"/>
      <c r="I450" s="1750"/>
      <c r="J450" s="602" t="s">
        <v>252</v>
      </c>
      <c r="K450" s="602">
        <f>ROUND((3.2*0.9),2)</f>
        <v>2.88</v>
      </c>
      <c r="L450" s="1467">
        <v>80.45</v>
      </c>
      <c r="M450" s="693">
        <f t="shared" si="11"/>
        <v>231.7</v>
      </c>
    </row>
    <row r="451" spans="1:13" s="329" customFormat="1" ht="54" customHeight="1" x14ac:dyDescent="0.2">
      <c r="A451" s="629" t="s">
        <v>282</v>
      </c>
      <c r="B451" s="1466">
        <v>87878</v>
      </c>
      <c r="C451" s="1748" t="s">
        <v>421</v>
      </c>
      <c r="D451" s="1749"/>
      <c r="E451" s="1749"/>
      <c r="F451" s="1749"/>
      <c r="G451" s="1749"/>
      <c r="H451" s="1749"/>
      <c r="I451" s="1750"/>
      <c r="J451" s="602" t="s">
        <v>252</v>
      </c>
      <c r="K451" s="602">
        <f>ROUND((2*K450)+(6*0.15*0.9),2)</f>
        <v>6.57</v>
      </c>
      <c r="L451" s="1467">
        <v>4.46</v>
      </c>
      <c r="M451" s="693">
        <f t="shared" si="11"/>
        <v>29.3</v>
      </c>
    </row>
    <row r="452" spans="1:13" s="329" customFormat="1" ht="54" customHeight="1" x14ac:dyDescent="0.2">
      <c r="A452" s="629" t="s">
        <v>282</v>
      </c>
      <c r="B452" s="1466">
        <v>87546</v>
      </c>
      <c r="C452" s="1748" t="s">
        <v>422</v>
      </c>
      <c r="D452" s="1749"/>
      <c r="E452" s="1749"/>
      <c r="F452" s="1749"/>
      <c r="G452" s="1749"/>
      <c r="H452" s="1749"/>
      <c r="I452" s="1750"/>
      <c r="J452" s="602" t="s">
        <v>252</v>
      </c>
      <c r="K452" s="602">
        <f>K451</f>
        <v>6.57</v>
      </c>
      <c r="L452" s="1467">
        <v>30</v>
      </c>
      <c r="M452" s="693">
        <f t="shared" si="11"/>
        <v>197.1</v>
      </c>
    </row>
    <row r="453" spans="1:13" s="329" customFormat="1" ht="54" customHeight="1" x14ac:dyDescent="0.2">
      <c r="A453" s="629" t="s">
        <v>282</v>
      </c>
      <c r="B453" s="1466">
        <v>87265</v>
      </c>
      <c r="C453" s="1748" t="s">
        <v>423</v>
      </c>
      <c r="D453" s="1749"/>
      <c r="E453" s="1749"/>
      <c r="F453" s="1749"/>
      <c r="G453" s="1749"/>
      <c r="H453" s="1749"/>
      <c r="I453" s="1750"/>
      <c r="J453" s="602" t="s">
        <v>252</v>
      </c>
      <c r="K453" s="602">
        <f>ROUND((K452+(0.6*1.3)+(0.07*1.3)),2)</f>
        <v>7.44</v>
      </c>
      <c r="L453" s="1467">
        <v>62.36</v>
      </c>
      <c r="M453" s="693">
        <f t="shared" si="11"/>
        <v>463.96</v>
      </c>
    </row>
    <row r="454" spans="1:13" s="329" customFormat="1" ht="32.25" customHeight="1" x14ac:dyDescent="0.2">
      <c r="A454" s="629" t="s">
        <v>282</v>
      </c>
      <c r="B454" s="1466">
        <v>86906</v>
      </c>
      <c r="C454" s="1751" t="s">
        <v>424</v>
      </c>
      <c r="D454" s="1752"/>
      <c r="E454" s="1752"/>
      <c r="F454" s="1752"/>
      <c r="G454" s="1752"/>
      <c r="H454" s="1752"/>
      <c r="I454" s="1753"/>
      <c r="J454" s="602" t="s">
        <v>236</v>
      </c>
      <c r="K454" s="603">
        <v>1</v>
      </c>
      <c r="L454" s="1467">
        <v>67.06</v>
      </c>
      <c r="M454" s="693">
        <f t="shared" si="11"/>
        <v>67.06</v>
      </c>
    </row>
    <row r="455" spans="1:13" s="329" customFormat="1" ht="32.25" customHeight="1" x14ac:dyDescent="0.2">
      <c r="A455" s="629" t="s">
        <v>282</v>
      </c>
      <c r="B455" s="1466">
        <v>86883</v>
      </c>
      <c r="C455" s="1751" t="s">
        <v>425</v>
      </c>
      <c r="D455" s="1752"/>
      <c r="E455" s="1752"/>
      <c r="F455" s="1752"/>
      <c r="G455" s="1752"/>
      <c r="H455" s="1752"/>
      <c r="I455" s="1753"/>
      <c r="J455" s="602" t="s">
        <v>236</v>
      </c>
      <c r="K455" s="603">
        <v>1</v>
      </c>
      <c r="L455" s="1467">
        <v>12.3</v>
      </c>
      <c r="M455" s="693">
        <f t="shared" si="11"/>
        <v>12.3</v>
      </c>
    </row>
    <row r="456" spans="1:13" s="329" customFormat="1" ht="48.75" customHeight="1" x14ac:dyDescent="0.2">
      <c r="A456" s="629" t="s">
        <v>445</v>
      </c>
      <c r="B456" s="1466" t="s">
        <v>1450</v>
      </c>
      <c r="C456" s="1748" t="s">
        <v>1451</v>
      </c>
      <c r="D456" s="1749"/>
      <c r="E456" s="1749"/>
      <c r="F456" s="1749"/>
      <c r="G456" s="1749"/>
      <c r="H456" s="1749"/>
      <c r="I456" s="1750"/>
      <c r="J456" s="602" t="s">
        <v>236</v>
      </c>
      <c r="K456" s="603">
        <v>1</v>
      </c>
      <c r="L456" s="1467">
        <v>117.48</v>
      </c>
      <c r="M456" s="693">
        <f t="shared" si="11"/>
        <v>117.48</v>
      </c>
    </row>
    <row r="457" spans="1:13" s="329" customFormat="1" ht="32.25" customHeight="1" x14ac:dyDescent="0.2">
      <c r="A457" s="629" t="s">
        <v>445</v>
      </c>
      <c r="B457" s="1466" t="s">
        <v>1452</v>
      </c>
      <c r="C457" s="1748" t="s">
        <v>404</v>
      </c>
      <c r="D457" s="1749"/>
      <c r="E457" s="1749"/>
      <c r="F457" s="1749"/>
      <c r="G457" s="1749"/>
      <c r="H457" s="1749"/>
      <c r="I457" s="1750"/>
      <c r="J457" s="602" t="s">
        <v>215</v>
      </c>
      <c r="K457" s="603">
        <f>ROUND(((1.55+2.3)*0.5)+(2.35*0.6),2)</f>
        <v>3.34</v>
      </c>
      <c r="L457" s="1467">
        <v>475.47</v>
      </c>
      <c r="M457" s="693">
        <f t="shared" si="11"/>
        <v>1588.07</v>
      </c>
    </row>
    <row r="458" spans="1:13" s="329" customFormat="1" ht="47.25" customHeight="1" x14ac:dyDescent="0.2">
      <c r="A458" s="629" t="s">
        <v>445</v>
      </c>
      <c r="B458" s="1278" t="s">
        <v>1453</v>
      </c>
      <c r="C458" s="1748" t="s">
        <v>1454</v>
      </c>
      <c r="D458" s="1749"/>
      <c r="E458" s="1749"/>
      <c r="F458" s="1749"/>
      <c r="G458" s="1749"/>
      <c r="H458" s="1749"/>
      <c r="I458" s="1750"/>
      <c r="J458" s="602" t="s">
        <v>214</v>
      </c>
      <c r="K458" s="603">
        <f>ROUND(1.55+3.35+2.3,2)</f>
        <v>7.2</v>
      </c>
      <c r="L458" s="1469">
        <v>46.88</v>
      </c>
      <c r="M458" s="693">
        <f t="shared" si="11"/>
        <v>337.54</v>
      </c>
    </row>
    <row r="459" spans="1:13" s="329" customFormat="1" ht="32.25" customHeight="1" x14ac:dyDescent="0.2">
      <c r="A459" s="629" t="s">
        <v>445</v>
      </c>
      <c r="B459" s="629" t="s">
        <v>1455</v>
      </c>
      <c r="C459" s="1748" t="s">
        <v>402</v>
      </c>
      <c r="D459" s="1749"/>
      <c r="E459" s="1749"/>
      <c r="F459" s="1749"/>
      <c r="G459" s="1749"/>
      <c r="H459" s="1749"/>
      <c r="I459" s="1750"/>
      <c r="J459" s="602" t="s">
        <v>216</v>
      </c>
      <c r="K459" s="603">
        <v>0.68</v>
      </c>
      <c r="L459" s="1470">
        <v>49.68</v>
      </c>
      <c r="M459" s="693">
        <f t="shared" si="11"/>
        <v>33.78</v>
      </c>
    </row>
    <row r="460" spans="1:13" ht="12.75" customHeight="1" x14ac:dyDescent="0.2">
      <c r="A460" s="629" t="s">
        <v>282</v>
      </c>
      <c r="B460" s="1278">
        <v>88316</v>
      </c>
      <c r="C460" s="1748" t="s">
        <v>99</v>
      </c>
      <c r="D460" s="1749"/>
      <c r="E460" s="1749"/>
      <c r="F460" s="1749"/>
      <c r="G460" s="1749"/>
      <c r="H460" s="1749"/>
      <c r="I460" s="1750"/>
      <c r="J460" s="602" t="s">
        <v>217</v>
      </c>
      <c r="K460" s="603">
        <v>1.5</v>
      </c>
      <c r="L460" s="1470">
        <v>17.09</v>
      </c>
      <c r="M460" s="693">
        <f t="shared" si="11"/>
        <v>25.64</v>
      </c>
    </row>
    <row r="461" spans="1:13" ht="12.75" customHeight="1" x14ac:dyDescent="0.2">
      <c r="A461" s="1346" t="s">
        <v>282</v>
      </c>
      <c r="B461" s="1278" t="s">
        <v>525</v>
      </c>
      <c r="C461" s="1748" t="s">
        <v>374</v>
      </c>
      <c r="D461" s="1749"/>
      <c r="E461" s="1749"/>
      <c r="F461" s="1749"/>
      <c r="G461" s="1749"/>
      <c r="H461" s="1749"/>
      <c r="I461" s="1750"/>
      <c r="J461" s="602" t="s">
        <v>217</v>
      </c>
      <c r="K461" s="603">
        <v>1.2</v>
      </c>
      <c r="L461" s="1470">
        <v>21.31</v>
      </c>
      <c r="M461" s="693">
        <f t="shared" si="11"/>
        <v>25.57</v>
      </c>
    </row>
    <row r="462" spans="1:13" x14ac:dyDescent="0.2">
      <c r="A462" s="605"/>
      <c r="B462" s="627"/>
      <c r="C462" s="1730" t="s">
        <v>1171</v>
      </c>
      <c r="D462" s="1725"/>
      <c r="E462" s="1725"/>
      <c r="F462" s="1725"/>
      <c r="G462" s="1725"/>
      <c r="H462" s="1725"/>
      <c r="I462" s="1725"/>
      <c r="J462" s="1731"/>
      <c r="K462" s="1344"/>
      <c r="L462" s="161"/>
      <c r="M462" s="1148">
        <f>ROUND((SUM(M449:M461)),2)</f>
        <v>3138.04</v>
      </c>
    </row>
    <row r="464" spans="1:13" x14ac:dyDescent="0.2">
      <c r="A464" s="290" t="s">
        <v>32</v>
      </c>
      <c r="B464" s="1730" t="s">
        <v>131</v>
      </c>
      <c r="C464" s="1725"/>
      <c r="D464" s="1725"/>
      <c r="E464" s="1725"/>
      <c r="F464" s="1725"/>
      <c r="G464" s="1725"/>
      <c r="H464" s="1725"/>
      <c r="I464" s="1725"/>
      <c r="J464" s="1725"/>
      <c r="K464" s="1725"/>
      <c r="L464" s="1726"/>
      <c r="M464" s="1143"/>
    </row>
    <row r="465" spans="1:15" ht="50.25" customHeight="1" x14ac:dyDescent="0.2">
      <c r="A465" s="1462" t="str">
        <f>ORÇ!A419</f>
        <v>16.10</v>
      </c>
      <c r="B465" s="1463"/>
      <c r="C465" s="1721" t="s">
        <v>1456</v>
      </c>
      <c r="D465" s="1722"/>
      <c r="E465" s="1722"/>
      <c r="F465" s="1722"/>
      <c r="G465" s="1722"/>
      <c r="H465" s="1722"/>
      <c r="I465" s="1722"/>
      <c r="J465" s="1722"/>
      <c r="K465" s="1723"/>
      <c r="L465" s="1147" t="s">
        <v>1173</v>
      </c>
      <c r="M465" s="1464" t="s">
        <v>252</v>
      </c>
    </row>
    <row r="466" spans="1:15" x14ac:dyDescent="0.2">
      <c r="A466" s="1730" t="s">
        <v>1717</v>
      </c>
      <c r="B466" s="1725"/>
      <c r="C466" s="1725"/>
      <c r="D466" s="1725"/>
      <c r="E466" s="1725"/>
      <c r="F466" s="1725"/>
      <c r="G466" s="1725"/>
      <c r="H466" s="1725"/>
      <c r="I466" s="1725"/>
      <c r="J466" s="1725"/>
      <c r="K466" s="1725"/>
      <c r="L466" s="1725"/>
      <c r="M466" s="1726"/>
    </row>
    <row r="467" spans="1:15" x14ac:dyDescent="0.2">
      <c r="A467" s="294" t="s">
        <v>281</v>
      </c>
      <c r="B467" s="1347" t="s">
        <v>92</v>
      </c>
      <c r="C467" s="1144"/>
      <c r="D467" s="1145"/>
      <c r="E467" s="1145"/>
      <c r="F467" s="1145" t="s">
        <v>93</v>
      </c>
      <c r="G467" s="1145"/>
      <c r="H467" s="1145"/>
      <c r="I467" s="1146"/>
      <c r="J467" s="1349" t="s">
        <v>94</v>
      </c>
      <c r="K467" s="1349" t="s">
        <v>35</v>
      </c>
      <c r="L467" s="1147" t="s">
        <v>95</v>
      </c>
      <c r="M467" s="1147" t="s">
        <v>86</v>
      </c>
    </row>
    <row r="468" spans="1:15" ht="27.75" customHeight="1" x14ac:dyDescent="0.2">
      <c r="A468" s="629" t="s">
        <v>445</v>
      </c>
      <c r="B468" s="1278">
        <v>4823</v>
      </c>
      <c r="C468" s="1748" t="s">
        <v>402</v>
      </c>
      <c r="D468" s="1749"/>
      <c r="E468" s="1749"/>
      <c r="F468" s="1749"/>
      <c r="G468" s="1749"/>
      <c r="H468" s="1749"/>
      <c r="I468" s="1750"/>
      <c r="J468" s="602" t="s">
        <v>216</v>
      </c>
      <c r="K468" s="603">
        <v>0.39</v>
      </c>
      <c r="L468" s="1470">
        <v>49.68</v>
      </c>
      <c r="M468" s="693">
        <f t="shared" ref="M468:M473" si="12">ROUND(K468*L468,2)</f>
        <v>19.38</v>
      </c>
    </row>
    <row r="469" spans="1:15" ht="46.5" customHeight="1" x14ac:dyDescent="0.2">
      <c r="A469" s="629" t="s">
        <v>445</v>
      </c>
      <c r="B469" s="1278">
        <v>11795</v>
      </c>
      <c r="C469" s="1748" t="s">
        <v>404</v>
      </c>
      <c r="D469" s="1749"/>
      <c r="E469" s="1749"/>
      <c r="F469" s="1749"/>
      <c r="G469" s="1749"/>
      <c r="H469" s="1749"/>
      <c r="I469" s="1750"/>
      <c r="J469" s="602" t="s">
        <v>252</v>
      </c>
      <c r="K469" s="603">
        <v>1</v>
      </c>
      <c r="L469" s="1470">
        <v>475.47</v>
      </c>
      <c r="M469" s="693">
        <f t="shared" si="12"/>
        <v>475.47</v>
      </c>
    </row>
    <row r="470" spans="1:15" ht="48" customHeight="1" x14ac:dyDescent="0.2">
      <c r="A470" s="629" t="s">
        <v>445</v>
      </c>
      <c r="B470" s="1278" t="s">
        <v>1453</v>
      </c>
      <c r="C470" s="1748" t="s">
        <v>1454</v>
      </c>
      <c r="D470" s="1749"/>
      <c r="E470" s="1749"/>
      <c r="F470" s="1749"/>
      <c r="G470" s="1749"/>
      <c r="H470" s="1749"/>
      <c r="I470" s="1750"/>
      <c r="J470" s="602" t="s">
        <v>214</v>
      </c>
      <c r="K470" s="603">
        <v>0.89</v>
      </c>
      <c r="L470" s="1470">
        <v>46.88</v>
      </c>
      <c r="M470" s="693">
        <f t="shared" si="12"/>
        <v>41.72</v>
      </c>
    </row>
    <row r="471" spans="1:15" ht="27.75" customHeight="1" x14ac:dyDescent="0.2">
      <c r="A471" s="629" t="s">
        <v>445</v>
      </c>
      <c r="B471" s="1278">
        <v>37329</v>
      </c>
      <c r="C471" s="1748" t="s">
        <v>405</v>
      </c>
      <c r="D471" s="1749"/>
      <c r="E471" s="1749"/>
      <c r="F471" s="1749"/>
      <c r="G471" s="1749"/>
      <c r="H471" s="1749"/>
      <c r="I471" s="1750"/>
      <c r="J471" s="602" t="s">
        <v>216</v>
      </c>
      <c r="K471" s="603">
        <v>0.02</v>
      </c>
      <c r="L471" s="1470">
        <v>86.57</v>
      </c>
      <c r="M471" s="693">
        <f t="shared" si="12"/>
        <v>1.73</v>
      </c>
    </row>
    <row r="472" spans="1:15" ht="44.25" customHeight="1" x14ac:dyDescent="0.2">
      <c r="A472" s="629" t="s">
        <v>282</v>
      </c>
      <c r="B472" s="1278">
        <v>88274</v>
      </c>
      <c r="C472" s="1748" t="s">
        <v>410</v>
      </c>
      <c r="D472" s="1749"/>
      <c r="E472" s="1749"/>
      <c r="F472" s="1749"/>
      <c r="G472" s="1749"/>
      <c r="H472" s="1749"/>
      <c r="I472" s="1750"/>
      <c r="J472" s="602" t="s">
        <v>217</v>
      </c>
      <c r="K472" s="603">
        <f>ROUND((1.921*1.9),2)</f>
        <v>3.65</v>
      </c>
      <c r="L472" s="1470">
        <v>21.91</v>
      </c>
      <c r="M472" s="693">
        <f t="shared" si="12"/>
        <v>79.97</v>
      </c>
    </row>
    <row r="473" spans="1:15" ht="27.75" customHeight="1" x14ac:dyDescent="0.2">
      <c r="A473" s="629" t="s">
        <v>282</v>
      </c>
      <c r="B473" s="1278">
        <v>88316</v>
      </c>
      <c r="C473" s="1748" t="s">
        <v>99</v>
      </c>
      <c r="D473" s="1749"/>
      <c r="E473" s="1749"/>
      <c r="F473" s="1749"/>
      <c r="G473" s="1749"/>
      <c r="H473" s="1749"/>
      <c r="I473" s="1750"/>
      <c r="J473" s="602" t="s">
        <v>217</v>
      </c>
      <c r="K473" s="603">
        <f>ROUND((0.9811*1.9),2)</f>
        <v>1.86</v>
      </c>
      <c r="L473" s="1470">
        <v>17.09</v>
      </c>
      <c r="M473" s="693">
        <f t="shared" si="12"/>
        <v>31.79</v>
      </c>
    </row>
    <row r="474" spans="1:15" x14ac:dyDescent="0.2">
      <c r="A474" s="605"/>
      <c r="B474" s="1471"/>
      <c r="C474" s="1725" t="s">
        <v>1171</v>
      </c>
      <c r="D474" s="1725"/>
      <c r="E474" s="1725"/>
      <c r="F474" s="1725"/>
      <c r="G474" s="1725"/>
      <c r="H474" s="1725"/>
      <c r="I474" s="1725"/>
      <c r="J474" s="1731"/>
      <c r="K474" s="1344"/>
      <c r="L474" s="161"/>
      <c r="M474" s="1148">
        <f>ROUND(SUM(M468:M473),2)</f>
        <v>650.05999999999995</v>
      </c>
    </row>
    <row r="476" spans="1:15" x14ac:dyDescent="0.2">
      <c r="A476" s="290" t="s">
        <v>32</v>
      </c>
      <c r="B476" s="1730" t="s">
        <v>131</v>
      </c>
      <c r="C476" s="1725"/>
      <c r="D476" s="1725"/>
      <c r="E476" s="1725"/>
      <c r="F476" s="1725"/>
      <c r="G476" s="1725"/>
      <c r="H476" s="1725"/>
      <c r="I476" s="1725"/>
      <c r="J476" s="1725"/>
      <c r="K476" s="1725"/>
      <c r="L476" s="1726"/>
      <c r="M476" s="1143"/>
    </row>
    <row r="477" spans="1:15" ht="45.6" customHeight="1" x14ac:dyDescent="0.2">
      <c r="A477" s="1462" t="str">
        <f>ORÇ!A420</f>
        <v>16.11</v>
      </c>
      <c r="B477" s="1463"/>
      <c r="C477" s="1727" t="s">
        <v>1457</v>
      </c>
      <c r="D477" s="1728"/>
      <c r="E477" s="1728"/>
      <c r="F477" s="1728"/>
      <c r="G477" s="1728"/>
      <c r="H477" s="1728"/>
      <c r="I477" s="1728"/>
      <c r="J477" s="1728"/>
      <c r="K477" s="1729"/>
      <c r="L477" s="1147" t="s">
        <v>1173</v>
      </c>
      <c r="M477" s="1464" t="s">
        <v>96</v>
      </c>
    </row>
    <row r="478" spans="1:15" x14ac:dyDescent="0.2">
      <c r="A478" s="1730" t="s">
        <v>1718</v>
      </c>
      <c r="B478" s="1725"/>
      <c r="C478" s="1725"/>
      <c r="D478" s="1725"/>
      <c r="E478" s="1725"/>
      <c r="F478" s="1725"/>
      <c r="G478" s="1725"/>
      <c r="H478" s="1725"/>
      <c r="I478" s="1725"/>
      <c r="J478" s="1725"/>
      <c r="K478" s="1725"/>
      <c r="L478" s="1725"/>
      <c r="M478" s="1726"/>
    </row>
    <row r="479" spans="1:15" x14ac:dyDescent="0.2">
      <c r="A479" s="294" t="s">
        <v>281</v>
      </c>
      <c r="B479" s="1347" t="s">
        <v>92</v>
      </c>
      <c r="C479" s="1144"/>
      <c r="D479" s="1145"/>
      <c r="E479" s="1145"/>
      <c r="F479" s="1145" t="s">
        <v>93</v>
      </c>
      <c r="G479" s="1145"/>
      <c r="H479" s="1145"/>
      <c r="I479" s="1146"/>
      <c r="J479" s="1349" t="s">
        <v>94</v>
      </c>
      <c r="K479" s="1349" t="s">
        <v>35</v>
      </c>
      <c r="L479" s="1147" t="s">
        <v>95</v>
      </c>
      <c r="M479" s="1147" t="s">
        <v>86</v>
      </c>
    </row>
    <row r="480" spans="1:15" x14ac:dyDescent="0.2">
      <c r="A480" s="629" t="s">
        <v>445</v>
      </c>
      <c r="B480" s="1278">
        <v>4823</v>
      </c>
      <c r="C480" s="1748" t="s">
        <v>402</v>
      </c>
      <c r="D480" s="1749"/>
      <c r="E480" s="1749"/>
      <c r="F480" s="1749"/>
      <c r="G480" s="1749"/>
      <c r="H480" s="1749"/>
      <c r="I480" s="1750"/>
      <c r="J480" s="602" t="s">
        <v>216</v>
      </c>
      <c r="K480" s="603">
        <v>0.88</v>
      </c>
      <c r="L480" s="1470">
        <v>49.68</v>
      </c>
      <c r="M480" s="693">
        <f t="shared" ref="M480:M490" si="13">ROUND(K480*L480,2)</f>
        <v>43.72</v>
      </c>
      <c r="O480">
        <v>3.65</v>
      </c>
    </row>
    <row r="481" spans="1:15" ht="45.75" customHeight="1" x14ac:dyDescent="0.2">
      <c r="A481" s="629" t="s">
        <v>445</v>
      </c>
      <c r="B481" s="1278">
        <v>7568</v>
      </c>
      <c r="C481" s="1748" t="s">
        <v>403</v>
      </c>
      <c r="D481" s="1749"/>
      <c r="E481" s="1749"/>
      <c r="F481" s="1749"/>
      <c r="G481" s="1749"/>
      <c r="H481" s="1749"/>
      <c r="I481" s="1750"/>
      <c r="J481" s="602" t="s">
        <v>236</v>
      </c>
      <c r="K481" s="603">
        <v>9</v>
      </c>
      <c r="L481" s="1470">
        <v>0.92</v>
      </c>
      <c r="M481" s="693">
        <f t="shared" si="13"/>
        <v>8.2799999999999994</v>
      </c>
      <c r="O481">
        <f>O480/1.4</f>
        <v>2.6071428571428572</v>
      </c>
    </row>
    <row r="482" spans="1:15" x14ac:dyDescent="0.2">
      <c r="A482" s="629" t="s">
        <v>445</v>
      </c>
      <c r="B482" s="1278">
        <v>11795</v>
      </c>
      <c r="C482" s="1748" t="s">
        <v>404</v>
      </c>
      <c r="D482" s="1749"/>
      <c r="E482" s="1749"/>
      <c r="F482" s="1749"/>
      <c r="G482" s="1749"/>
      <c r="H482" s="1749"/>
      <c r="I482" s="1750"/>
      <c r="J482" s="602" t="s">
        <v>252</v>
      </c>
      <c r="K482" s="603">
        <f>1.6*0.6</f>
        <v>0.96</v>
      </c>
      <c r="L482" s="1470">
        <v>475.47</v>
      </c>
      <c r="M482" s="693">
        <f t="shared" si="13"/>
        <v>456.45</v>
      </c>
    </row>
    <row r="483" spans="1:15" x14ac:dyDescent="0.2">
      <c r="A483" s="629" t="s">
        <v>445</v>
      </c>
      <c r="B483" s="1278" t="s">
        <v>1453</v>
      </c>
      <c r="C483" s="1806" t="s">
        <v>1454</v>
      </c>
      <c r="D483" s="1807"/>
      <c r="E483" s="1807"/>
      <c r="F483" s="1807"/>
      <c r="G483" s="1807"/>
      <c r="H483" s="1807"/>
      <c r="I483" s="1808"/>
      <c r="J483" s="602" t="s">
        <v>214</v>
      </c>
      <c r="K483" s="603">
        <f>1.6+0.66</f>
        <v>2.2600000000000002</v>
      </c>
      <c r="L483" s="1470">
        <v>46.88</v>
      </c>
      <c r="M483" s="693">
        <f t="shared" si="13"/>
        <v>105.95</v>
      </c>
    </row>
    <row r="484" spans="1:15" ht="12.75" customHeight="1" x14ac:dyDescent="0.2">
      <c r="A484" s="629" t="s">
        <v>445</v>
      </c>
      <c r="B484" s="1278">
        <v>37329</v>
      </c>
      <c r="C484" s="1748" t="s">
        <v>405</v>
      </c>
      <c r="D484" s="1749"/>
      <c r="E484" s="1749"/>
      <c r="F484" s="1749"/>
      <c r="G484" s="1749"/>
      <c r="H484" s="1749"/>
      <c r="I484" s="1750"/>
      <c r="J484" s="602" t="s">
        <v>216</v>
      </c>
      <c r="K484" s="603">
        <f>ROUND((0.0211*2.6),2)</f>
        <v>0.05</v>
      </c>
      <c r="L484" s="1470">
        <v>86.57</v>
      </c>
      <c r="M484" s="693">
        <f t="shared" si="13"/>
        <v>4.33</v>
      </c>
    </row>
    <row r="485" spans="1:15" ht="41.25" customHeight="1" x14ac:dyDescent="0.2">
      <c r="A485" s="629" t="s">
        <v>282</v>
      </c>
      <c r="B485" s="1278">
        <v>86936</v>
      </c>
      <c r="C485" s="1748" t="s">
        <v>537</v>
      </c>
      <c r="D485" s="1749"/>
      <c r="E485" s="1749"/>
      <c r="F485" s="1749"/>
      <c r="G485" s="1749"/>
      <c r="H485" s="1749"/>
      <c r="I485" s="1750"/>
      <c r="J485" s="602" t="s">
        <v>236</v>
      </c>
      <c r="K485" s="603">
        <v>1</v>
      </c>
      <c r="L485" s="1470">
        <v>449.55</v>
      </c>
      <c r="M485" s="693">
        <f t="shared" si="13"/>
        <v>449.55</v>
      </c>
    </row>
    <row r="486" spans="1:15" ht="48.75" customHeight="1" x14ac:dyDescent="0.2">
      <c r="A486" s="629" t="s">
        <v>282</v>
      </c>
      <c r="B486" s="1278">
        <v>86885</v>
      </c>
      <c r="C486" s="1748" t="s">
        <v>406</v>
      </c>
      <c r="D486" s="1749"/>
      <c r="E486" s="1749"/>
      <c r="F486" s="1749"/>
      <c r="G486" s="1749"/>
      <c r="H486" s="1749"/>
      <c r="I486" s="1750"/>
      <c r="J486" s="602" t="s">
        <v>236</v>
      </c>
      <c r="K486" s="603">
        <v>1</v>
      </c>
      <c r="L486" s="1470">
        <v>11.42</v>
      </c>
      <c r="M486" s="693">
        <f t="shared" si="13"/>
        <v>11.42</v>
      </c>
    </row>
    <row r="487" spans="1:15" ht="27" customHeight="1" x14ac:dyDescent="0.2">
      <c r="A487" s="629" t="s">
        <v>445</v>
      </c>
      <c r="B487" s="1278">
        <v>38605</v>
      </c>
      <c r="C487" s="1748" t="s">
        <v>408</v>
      </c>
      <c r="D487" s="1749"/>
      <c r="E487" s="1749"/>
      <c r="F487" s="1749"/>
      <c r="G487" s="1749"/>
      <c r="H487" s="1749"/>
      <c r="I487" s="1750"/>
      <c r="J487" s="602" t="s">
        <v>236</v>
      </c>
      <c r="K487" s="603">
        <v>1</v>
      </c>
      <c r="L487" s="1470">
        <v>146.6</v>
      </c>
      <c r="M487" s="693">
        <f t="shared" si="13"/>
        <v>146.6</v>
      </c>
    </row>
    <row r="488" spans="1:15" ht="41.25" customHeight="1" x14ac:dyDescent="0.2">
      <c r="A488" s="629" t="s">
        <v>445</v>
      </c>
      <c r="B488" s="1278">
        <v>38633</v>
      </c>
      <c r="C488" s="1748" t="s">
        <v>409</v>
      </c>
      <c r="D488" s="1749"/>
      <c r="E488" s="1749"/>
      <c r="F488" s="1749"/>
      <c r="G488" s="1749"/>
      <c r="H488" s="1749"/>
      <c r="I488" s="1750"/>
      <c r="J488" s="602" t="s">
        <v>236</v>
      </c>
      <c r="K488" s="603">
        <v>1</v>
      </c>
      <c r="L488" s="1470">
        <v>21.99</v>
      </c>
      <c r="M488" s="693">
        <f t="shared" si="13"/>
        <v>21.99</v>
      </c>
    </row>
    <row r="489" spans="1:15" ht="27" customHeight="1" x14ac:dyDescent="0.2">
      <c r="A489" s="629" t="s">
        <v>282</v>
      </c>
      <c r="B489" s="1278">
        <v>88274</v>
      </c>
      <c r="C489" s="1748" t="s">
        <v>410</v>
      </c>
      <c r="D489" s="1749"/>
      <c r="E489" s="1749"/>
      <c r="F489" s="1749"/>
      <c r="G489" s="1749"/>
      <c r="H489" s="1749"/>
      <c r="I489" s="1750"/>
      <c r="J489" s="602" t="s">
        <v>217</v>
      </c>
      <c r="K489" s="603">
        <v>2</v>
      </c>
      <c r="L489" s="1470">
        <v>21.91</v>
      </c>
      <c r="M489" s="693">
        <f t="shared" si="13"/>
        <v>43.82</v>
      </c>
    </row>
    <row r="490" spans="1:15" ht="27" customHeight="1" x14ac:dyDescent="0.2">
      <c r="A490" s="629" t="s">
        <v>282</v>
      </c>
      <c r="B490" s="1278">
        <v>88316</v>
      </c>
      <c r="C490" s="1748" t="s">
        <v>99</v>
      </c>
      <c r="D490" s="1749"/>
      <c r="E490" s="1749"/>
      <c r="F490" s="1749"/>
      <c r="G490" s="1749"/>
      <c r="H490" s="1749"/>
      <c r="I490" s="1750"/>
      <c r="J490" s="602" t="s">
        <v>217</v>
      </c>
      <c r="K490" s="603">
        <v>2</v>
      </c>
      <c r="L490" s="1470">
        <v>17.09</v>
      </c>
      <c r="M490" s="693">
        <f t="shared" si="13"/>
        <v>34.18</v>
      </c>
    </row>
    <row r="491" spans="1:15" ht="18" customHeight="1" x14ac:dyDescent="0.2">
      <c r="A491" s="605"/>
      <c r="B491" s="1471"/>
      <c r="C491" s="1725" t="s">
        <v>1171</v>
      </c>
      <c r="D491" s="1725"/>
      <c r="E491" s="1725"/>
      <c r="F491" s="1725"/>
      <c r="G491" s="1725"/>
      <c r="H491" s="1725"/>
      <c r="I491" s="1725"/>
      <c r="J491" s="1731"/>
      <c r="K491" s="1344"/>
      <c r="L491" s="161"/>
      <c r="M491" s="1148">
        <f>SUM(M480:M490)</f>
        <v>1326.29</v>
      </c>
    </row>
    <row r="493" spans="1:15" x14ac:dyDescent="0.2">
      <c r="A493" s="290" t="s">
        <v>375</v>
      </c>
      <c r="B493" s="1730" t="s">
        <v>131</v>
      </c>
      <c r="C493" s="1725"/>
      <c r="D493" s="1725"/>
      <c r="E493" s="1725"/>
      <c r="F493" s="1725"/>
      <c r="G493" s="1725"/>
      <c r="H493" s="1725"/>
      <c r="I493" s="1725"/>
      <c r="J493" s="1725"/>
      <c r="K493" s="1725"/>
      <c r="L493" s="1726"/>
      <c r="M493" s="1143"/>
    </row>
    <row r="494" spans="1:15" ht="47.25" customHeight="1" x14ac:dyDescent="0.2">
      <c r="A494" s="1462" t="str">
        <f>ORÇ!A421</f>
        <v>16.12</v>
      </c>
      <c r="B494" s="1463"/>
      <c r="C494" s="1721" t="s">
        <v>538</v>
      </c>
      <c r="D494" s="1722"/>
      <c r="E494" s="1722"/>
      <c r="F494" s="1722"/>
      <c r="G494" s="1722"/>
      <c r="H494" s="1722"/>
      <c r="I494" s="1722"/>
      <c r="J494" s="1722"/>
      <c r="K494" s="1723"/>
      <c r="L494" s="1147" t="s">
        <v>1173</v>
      </c>
      <c r="M494" s="1464" t="s">
        <v>96</v>
      </c>
    </row>
    <row r="495" spans="1:15" x14ac:dyDescent="0.2">
      <c r="A495" s="1730" t="s">
        <v>1719</v>
      </c>
      <c r="B495" s="1725"/>
      <c r="C495" s="1725"/>
      <c r="D495" s="1725"/>
      <c r="E495" s="1725"/>
      <c r="F495" s="1725"/>
      <c r="G495" s="1725"/>
      <c r="H495" s="1725"/>
      <c r="I495" s="1725"/>
      <c r="J495" s="1725"/>
      <c r="K495" s="1725"/>
      <c r="L495" s="1725"/>
      <c r="M495" s="1726"/>
    </row>
    <row r="496" spans="1:15" x14ac:dyDescent="0.2">
      <c r="A496" s="294" t="s">
        <v>281</v>
      </c>
      <c r="B496" s="1347" t="s">
        <v>92</v>
      </c>
      <c r="C496" s="1144"/>
      <c r="D496" s="1145"/>
      <c r="E496" s="1145"/>
      <c r="F496" s="1145" t="s">
        <v>93</v>
      </c>
      <c r="G496" s="1145"/>
      <c r="H496" s="1145"/>
      <c r="I496" s="1146"/>
      <c r="J496" s="1349" t="s">
        <v>94</v>
      </c>
      <c r="K496" s="1349" t="s">
        <v>35</v>
      </c>
      <c r="L496" s="1147" t="s">
        <v>95</v>
      </c>
      <c r="M496" s="1465" t="s">
        <v>86</v>
      </c>
    </row>
    <row r="497" spans="1:13" s="329" customFormat="1" ht="39" customHeight="1" x14ac:dyDescent="0.2">
      <c r="A497" s="629" t="s">
        <v>282</v>
      </c>
      <c r="B497" s="1466">
        <v>86884</v>
      </c>
      <c r="C497" s="1748" t="s">
        <v>420</v>
      </c>
      <c r="D497" s="1749"/>
      <c r="E497" s="1749"/>
      <c r="F497" s="1749"/>
      <c r="G497" s="1749"/>
      <c r="H497" s="1749"/>
      <c r="I497" s="1750"/>
      <c r="J497" s="602" t="s">
        <v>220</v>
      </c>
      <c r="K497" s="603">
        <v>1</v>
      </c>
      <c r="L497" s="1467">
        <v>8.5399999999999991</v>
      </c>
      <c r="M497" s="693">
        <f t="shared" ref="M497:M509" si="14">ROUND(K497*L497,2)</f>
        <v>8.5399999999999991</v>
      </c>
    </row>
    <row r="498" spans="1:13" s="329" customFormat="1" ht="54" customHeight="1" x14ac:dyDescent="0.2">
      <c r="A498" s="629" t="s">
        <v>282</v>
      </c>
      <c r="B498" s="1466">
        <v>103328</v>
      </c>
      <c r="C498" s="1748" t="s">
        <v>1283</v>
      </c>
      <c r="D498" s="1749"/>
      <c r="E498" s="1749"/>
      <c r="F498" s="1749"/>
      <c r="G498" s="1749"/>
      <c r="H498" s="1749"/>
      <c r="I498" s="1750"/>
      <c r="J498" s="602" t="s">
        <v>252</v>
      </c>
      <c r="K498" s="602">
        <f>ROUND((2*0.9*0.6),2)</f>
        <v>1.08</v>
      </c>
      <c r="L498" s="1467">
        <v>80.45</v>
      </c>
      <c r="M498" s="693">
        <f t="shared" si="14"/>
        <v>86.89</v>
      </c>
    </row>
    <row r="499" spans="1:13" s="329" customFormat="1" ht="39" customHeight="1" x14ac:dyDescent="0.2">
      <c r="A499" s="629" t="s">
        <v>282</v>
      </c>
      <c r="B499" s="1466">
        <v>87878</v>
      </c>
      <c r="C499" s="1748" t="s">
        <v>421</v>
      </c>
      <c r="D499" s="1749"/>
      <c r="E499" s="1749"/>
      <c r="F499" s="1749"/>
      <c r="G499" s="1749"/>
      <c r="H499" s="1749"/>
      <c r="I499" s="1750"/>
      <c r="J499" s="602" t="s">
        <v>215</v>
      </c>
      <c r="K499" s="602">
        <f>ROUND((4*0.9*0.6),2)</f>
        <v>2.16</v>
      </c>
      <c r="L499" s="1467">
        <v>4.46</v>
      </c>
      <c r="M499" s="693">
        <f t="shared" si="14"/>
        <v>9.6300000000000008</v>
      </c>
    </row>
    <row r="500" spans="1:13" s="329" customFormat="1" ht="51" customHeight="1" x14ac:dyDescent="0.2">
      <c r="A500" s="629" t="s">
        <v>282</v>
      </c>
      <c r="B500" s="1466">
        <v>87546</v>
      </c>
      <c r="C500" s="1748" t="s">
        <v>422</v>
      </c>
      <c r="D500" s="1749"/>
      <c r="E500" s="1749"/>
      <c r="F500" s="1749"/>
      <c r="G500" s="1749"/>
      <c r="H500" s="1749"/>
      <c r="I500" s="1750"/>
      <c r="J500" s="602" t="s">
        <v>215</v>
      </c>
      <c r="K500" s="602">
        <f>K499</f>
        <v>2.16</v>
      </c>
      <c r="L500" s="1467">
        <v>30</v>
      </c>
      <c r="M500" s="693">
        <f t="shared" si="14"/>
        <v>64.8</v>
      </c>
    </row>
    <row r="501" spans="1:13" s="329" customFormat="1" ht="39" customHeight="1" x14ac:dyDescent="0.2">
      <c r="A501" s="629" t="s">
        <v>282</v>
      </c>
      <c r="B501" s="1466">
        <v>87265</v>
      </c>
      <c r="C501" s="1748" t="s">
        <v>423</v>
      </c>
      <c r="D501" s="1749"/>
      <c r="E501" s="1749"/>
      <c r="F501" s="1749"/>
      <c r="G501" s="1749"/>
      <c r="H501" s="1749"/>
      <c r="I501" s="1750"/>
      <c r="J501" s="602" t="s">
        <v>215</v>
      </c>
      <c r="K501" s="602">
        <f>ROUND((K500+(0.6*1.3)+(0.07*1.3)),2)</f>
        <v>3.03</v>
      </c>
      <c r="L501" s="1467">
        <v>62.36</v>
      </c>
      <c r="M501" s="693">
        <f t="shared" si="14"/>
        <v>188.95</v>
      </c>
    </row>
    <row r="502" spans="1:13" s="329" customFormat="1" ht="39" customHeight="1" x14ac:dyDescent="0.2">
      <c r="A502" s="629" t="s">
        <v>282</v>
      </c>
      <c r="B502" s="1466">
        <v>86906</v>
      </c>
      <c r="C502" s="1751" t="s">
        <v>424</v>
      </c>
      <c r="D502" s="1752"/>
      <c r="E502" s="1752"/>
      <c r="F502" s="1752"/>
      <c r="G502" s="1752"/>
      <c r="H502" s="1752"/>
      <c r="I502" s="1753"/>
      <c r="J502" s="602" t="s">
        <v>220</v>
      </c>
      <c r="K502" s="603">
        <v>1</v>
      </c>
      <c r="L502" s="1467">
        <v>67.06</v>
      </c>
      <c r="M502" s="693">
        <f t="shared" si="14"/>
        <v>67.06</v>
      </c>
    </row>
    <row r="503" spans="1:13" s="329" customFormat="1" ht="39" customHeight="1" x14ac:dyDescent="0.2">
      <c r="A503" s="629" t="s">
        <v>282</v>
      </c>
      <c r="B503" s="1466">
        <v>86883</v>
      </c>
      <c r="C503" s="1751" t="s">
        <v>425</v>
      </c>
      <c r="D503" s="1752"/>
      <c r="E503" s="1752"/>
      <c r="F503" s="1752"/>
      <c r="G503" s="1752"/>
      <c r="H503" s="1752"/>
      <c r="I503" s="1753"/>
      <c r="J503" s="602" t="s">
        <v>220</v>
      </c>
      <c r="K503" s="603">
        <v>1</v>
      </c>
      <c r="L503" s="1467">
        <v>12.3</v>
      </c>
      <c r="M503" s="693">
        <f t="shared" si="14"/>
        <v>12.3</v>
      </c>
    </row>
    <row r="504" spans="1:13" s="329" customFormat="1" ht="39" customHeight="1" x14ac:dyDescent="0.2">
      <c r="A504" s="629" t="s">
        <v>282</v>
      </c>
      <c r="B504" s="1466">
        <v>92916</v>
      </c>
      <c r="C504" s="1748" t="s">
        <v>273</v>
      </c>
      <c r="D504" s="1749"/>
      <c r="E504" s="1749"/>
      <c r="F504" s="1749"/>
      <c r="G504" s="1749"/>
      <c r="H504" s="1749"/>
      <c r="I504" s="1750"/>
      <c r="J504" s="602" t="s">
        <v>216</v>
      </c>
      <c r="K504" s="602">
        <f>ROUND((0.245*(1.2+2.6)),2)</f>
        <v>0.93</v>
      </c>
      <c r="L504" s="1467">
        <v>14.86</v>
      </c>
      <c r="M504" s="693">
        <f t="shared" si="14"/>
        <v>13.82</v>
      </c>
    </row>
    <row r="505" spans="1:13" s="329" customFormat="1" ht="39" customHeight="1" x14ac:dyDescent="0.2">
      <c r="A505" s="629" t="s">
        <v>282</v>
      </c>
      <c r="B505" s="1466">
        <v>94975</v>
      </c>
      <c r="C505" s="1748" t="s">
        <v>426</v>
      </c>
      <c r="D505" s="1749"/>
      <c r="E505" s="1749"/>
      <c r="F505" s="1749"/>
      <c r="G505" s="1749"/>
      <c r="H505" s="1749"/>
      <c r="I505" s="1750"/>
      <c r="J505" s="602" t="s">
        <v>373</v>
      </c>
      <c r="K505" s="602">
        <f>ROUND((1.3*0.07*0.6),2)</f>
        <v>0.05</v>
      </c>
      <c r="L505" s="1467">
        <v>513.39</v>
      </c>
      <c r="M505" s="693">
        <f t="shared" si="14"/>
        <v>25.67</v>
      </c>
    </row>
    <row r="506" spans="1:13" s="329" customFormat="1" ht="39" customHeight="1" x14ac:dyDescent="0.2">
      <c r="A506" s="629" t="s">
        <v>282</v>
      </c>
      <c r="B506" s="1278">
        <v>96536</v>
      </c>
      <c r="C506" s="1748" t="s">
        <v>223</v>
      </c>
      <c r="D506" s="1749"/>
      <c r="E506" s="1749"/>
      <c r="F506" s="1749"/>
      <c r="G506" s="1749"/>
      <c r="H506" s="1749"/>
      <c r="I506" s="1750"/>
      <c r="J506" s="602" t="s">
        <v>252</v>
      </c>
      <c r="K506" s="603">
        <f>ROUND(((0.6*1.3)+(2*1.3*0.1)),2)</f>
        <v>1.04</v>
      </c>
      <c r="L506" s="1469">
        <v>64.47</v>
      </c>
      <c r="M506" s="693">
        <f t="shared" si="14"/>
        <v>67.05</v>
      </c>
    </row>
    <row r="507" spans="1:13" s="329" customFormat="1" ht="39" customHeight="1" x14ac:dyDescent="0.2">
      <c r="A507" s="629" t="s">
        <v>445</v>
      </c>
      <c r="B507" s="629">
        <v>1746</v>
      </c>
      <c r="C507" s="1748" t="s">
        <v>427</v>
      </c>
      <c r="D507" s="1749"/>
      <c r="E507" s="1749"/>
      <c r="F507" s="1749"/>
      <c r="G507" s="1749"/>
      <c r="H507" s="1749"/>
      <c r="I507" s="1750"/>
      <c r="J507" s="602" t="s">
        <v>220</v>
      </c>
      <c r="K507" s="603">
        <v>1</v>
      </c>
      <c r="L507" s="1470">
        <v>212.63</v>
      </c>
      <c r="M507" s="693">
        <f t="shared" si="14"/>
        <v>212.63</v>
      </c>
    </row>
    <row r="508" spans="1:13" x14ac:dyDescent="0.2">
      <c r="A508" s="629" t="s">
        <v>282</v>
      </c>
      <c r="B508" s="1278">
        <v>88316</v>
      </c>
      <c r="C508" s="1748" t="s">
        <v>99</v>
      </c>
      <c r="D508" s="1749"/>
      <c r="E508" s="1749"/>
      <c r="F508" s="1749"/>
      <c r="G508" s="1749"/>
      <c r="H508" s="1749"/>
      <c r="I508" s="1750"/>
      <c r="J508" s="602" t="s">
        <v>98</v>
      </c>
      <c r="K508" s="603">
        <v>1.5</v>
      </c>
      <c r="L508" s="1470">
        <v>17.09</v>
      </c>
      <c r="M508" s="693">
        <f t="shared" si="14"/>
        <v>25.64</v>
      </c>
    </row>
    <row r="509" spans="1:13" x14ac:dyDescent="0.2">
      <c r="A509" s="1346" t="s">
        <v>282</v>
      </c>
      <c r="B509" s="1278">
        <v>88309</v>
      </c>
      <c r="C509" s="1748" t="s">
        <v>374</v>
      </c>
      <c r="D509" s="1749"/>
      <c r="E509" s="1749"/>
      <c r="F509" s="1749"/>
      <c r="G509" s="1749"/>
      <c r="H509" s="1749"/>
      <c r="I509" s="1750"/>
      <c r="J509" s="602" t="s">
        <v>98</v>
      </c>
      <c r="K509" s="603">
        <v>1.2</v>
      </c>
      <c r="L509" s="1470">
        <v>21.31</v>
      </c>
      <c r="M509" s="693">
        <f t="shared" si="14"/>
        <v>25.57</v>
      </c>
    </row>
    <row r="510" spans="1:13" x14ac:dyDescent="0.2">
      <c r="A510" s="605"/>
      <c r="B510" s="627"/>
      <c r="C510" s="1730" t="s">
        <v>1171</v>
      </c>
      <c r="D510" s="1725"/>
      <c r="E510" s="1725"/>
      <c r="F510" s="1725"/>
      <c r="G510" s="1725"/>
      <c r="H510" s="1725"/>
      <c r="I510" s="1725"/>
      <c r="J510" s="1731"/>
      <c r="K510" s="1344"/>
      <c r="L510" s="161"/>
      <c r="M510" s="1154">
        <f>ROUND((SUM(M497:M509)),2)</f>
        <v>808.55</v>
      </c>
    </row>
    <row r="512" spans="1:13" x14ac:dyDescent="0.2">
      <c r="A512" s="290" t="s">
        <v>32</v>
      </c>
      <c r="B512" s="1730" t="s">
        <v>131</v>
      </c>
      <c r="C512" s="1725"/>
      <c r="D512" s="1725"/>
      <c r="E512" s="1725"/>
      <c r="F512" s="1725"/>
      <c r="G512" s="1725"/>
      <c r="H512" s="1725"/>
      <c r="I512" s="1725"/>
      <c r="J512" s="1725"/>
      <c r="K512" s="1725"/>
      <c r="L512" s="1726"/>
      <c r="M512" s="1143"/>
    </row>
    <row r="513" spans="1:13" ht="30.75" customHeight="1" x14ac:dyDescent="0.2">
      <c r="A513" s="1462" t="str">
        <f>ORÇ!A427</f>
        <v>16.18</v>
      </c>
      <c r="B513" s="1463"/>
      <c r="C513" s="1721" t="s">
        <v>394</v>
      </c>
      <c r="D513" s="1722"/>
      <c r="E513" s="1722"/>
      <c r="F513" s="1722"/>
      <c r="G513" s="1722"/>
      <c r="H513" s="1722"/>
      <c r="I513" s="1722"/>
      <c r="J513" s="1722"/>
      <c r="K513" s="1723"/>
      <c r="L513" s="1147" t="s">
        <v>1173</v>
      </c>
      <c r="M513" s="1464" t="s">
        <v>96</v>
      </c>
    </row>
    <row r="514" spans="1:13" x14ac:dyDescent="0.2">
      <c r="A514" s="1730" t="s">
        <v>830</v>
      </c>
      <c r="B514" s="1725"/>
      <c r="C514" s="1725"/>
      <c r="D514" s="1725"/>
      <c r="E514" s="1725"/>
      <c r="F514" s="1725"/>
      <c r="G514" s="1725"/>
      <c r="H514" s="1725"/>
      <c r="I514" s="1725"/>
      <c r="J514" s="1725"/>
      <c r="K514" s="1725"/>
      <c r="L514" s="1725"/>
      <c r="M514" s="1726"/>
    </row>
    <row r="515" spans="1:13" x14ac:dyDescent="0.2">
      <c r="A515" s="294" t="s">
        <v>281</v>
      </c>
      <c r="B515" s="1347" t="s">
        <v>92</v>
      </c>
      <c r="C515" s="1144"/>
      <c r="D515" s="1145"/>
      <c r="E515" s="1145"/>
      <c r="F515" s="1145" t="s">
        <v>93</v>
      </c>
      <c r="G515" s="1145"/>
      <c r="H515" s="1145"/>
      <c r="I515" s="1146"/>
      <c r="J515" s="1349" t="s">
        <v>94</v>
      </c>
      <c r="K515" s="1349" t="s">
        <v>35</v>
      </c>
      <c r="L515" s="1147" t="s">
        <v>95</v>
      </c>
      <c r="M515" s="1465" t="s">
        <v>86</v>
      </c>
    </row>
    <row r="516" spans="1:13" ht="29.25" customHeight="1" x14ac:dyDescent="0.2">
      <c r="A516" s="601" t="s">
        <v>445</v>
      </c>
      <c r="B516" s="1278">
        <v>37401</v>
      </c>
      <c r="C516" s="1757" t="s">
        <v>243</v>
      </c>
      <c r="D516" s="1758"/>
      <c r="E516" s="1758"/>
      <c r="F516" s="1758"/>
      <c r="G516" s="1758"/>
      <c r="H516" s="1758"/>
      <c r="I516" s="1759"/>
      <c r="J516" s="602" t="s">
        <v>236</v>
      </c>
      <c r="K516" s="603">
        <v>1</v>
      </c>
      <c r="L516" s="1470">
        <v>83.55</v>
      </c>
      <c r="M516" s="693">
        <f t="shared" ref="M516:M518" si="15">ROUND(K516*L516,2)</f>
        <v>83.55</v>
      </c>
    </row>
    <row r="517" spans="1:13" ht="29.25" customHeight="1" x14ac:dyDescent="0.2">
      <c r="A517" s="601" t="s">
        <v>282</v>
      </c>
      <c r="B517" s="1278">
        <v>88267</v>
      </c>
      <c r="C517" s="1754" t="s">
        <v>401</v>
      </c>
      <c r="D517" s="1755"/>
      <c r="E517" s="1755"/>
      <c r="F517" s="1755"/>
      <c r="G517" s="1755"/>
      <c r="H517" s="1755"/>
      <c r="I517" s="1756"/>
      <c r="J517" s="602" t="s">
        <v>217</v>
      </c>
      <c r="K517" s="603">
        <v>0.32</v>
      </c>
      <c r="L517" s="1470">
        <v>20.7</v>
      </c>
      <c r="M517" s="693">
        <f t="shared" si="15"/>
        <v>6.62</v>
      </c>
    </row>
    <row r="518" spans="1:13" x14ac:dyDescent="0.2">
      <c r="A518" s="601" t="s">
        <v>282</v>
      </c>
      <c r="B518" s="1278">
        <v>88316</v>
      </c>
      <c r="C518" s="1754" t="s">
        <v>99</v>
      </c>
      <c r="D518" s="1755"/>
      <c r="E518" s="1755"/>
      <c r="F518" s="1755"/>
      <c r="G518" s="1755"/>
      <c r="H518" s="1755"/>
      <c r="I518" s="1756"/>
      <c r="J518" s="602" t="s">
        <v>217</v>
      </c>
      <c r="K518" s="603">
        <v>0.1</v>
      </c>
      <c r="L518" s="1470">
        <v>17.09</v>
      </c>
      <c r="M518" s="693">
        <f t="shared" si="15"/>
        <v>1.71</v>
      </c>
    </row>
    <row r="519" spans="1:13" x14ac:dyDescent="0.2">
      <c r="A519" s="605"/>
      <c r="B519" s="1471"/>
      <c r="C519" s="1725" t="s">
        <v>1171</v>
      </c>
      <c r="D519" s="1725"/>
      <c r="E519" s="1725"/>
      <c r="F519" s="1725"/>
      <c r="G519" s="1725"/>
      <c r="H519" s="1725"/>
      <c r="I519" s="1725"/>
      <c r="J519" s="1731"/>
      <c r="K519" s="1344"/>
      <c r="L519" s="161"/>
      <c r="M519" s="1148">
        <f>SUM(M516:M518)</f>
        <v>91.88</v>
      </c>
    </row>
    <row r="520" spans="1:13" x14ac:dyDescent="0.2">
      <c r="A520" s="1472"/>
      <c r="B520" s="1473"/>
      <c r="C520" s="1474"/>
      <c r="D520" s="1475"/>
      <c r="E520" s="1475"/>
      <c r="F520" s="1475"/>
      <c r="G520" s="1475"/>
      <c r="H520" s="1475"/>
      <c r="I520" s="1475"/>
      <c r="J520" s="1475"/>
      <c r="K520" s="1475"/>
      <c r="L520" s="1476"/>
      <c r="M520" s="1477"/>
    </row>
    <row r="521" spans="1:13" s="38" customFormat="1" x14ac:dyDescent="0.2">
      <c r="A521" s="290" t="s">
        <v>32</v>
      </c>
      <c r="B521" s="1730" t="s">
        <v>131</v>
      </c>
      <c r="C521" s="1725"/>
      <c r="D521" s="1725"/>
      <c r="E521" s="1725"/>
      <c r="F521" s="1725"/>
      <c r="G521" s="1725"/>
      <c r="H521" s="1725"/>
      <c r="I521" s="1725"/>
      <c r="J521" s="1725"/>
      <c r="K521" s="1725"/>
      <c r="L521" s="1726"/>
      <c r="M521" s="1143"/>
    </row>
    <row r="522" spans="1:13" ht="12.75" customHeight="1" x14ac:dyDescent="0.2">
      <c r="A522" s="1462" t="str">
        <f>ORÇ!A433</f>
        <v>16.24</v>
      </c>
      <c r="B522" s="1463"/>
      <c r="C522" s="1721" t="s">
        <v>865</v>
      </c>
      <c r="D522" s="1722"/>
      <c r="E522" s="1722"/>
      <c r="F522" s="1722"/>
      <c r="G522" s="1722"/>
      <c r="H522" s="1722"/>
      <c r="I522" s="1722"/>
      <c r="J522" s="1722"/>
      <c r="K522" s="1723"/>
      <c r="L522" s="1147" t="s">
        <v>1173</v>
      </c>
      <c r="M522" s="1464" t="s">
        <v>96</v>
      </c>
    </row>
    <row r="523" spans="1:13" s="38" customFormat="1" x14ac:dyDescent="0.2">
      <c r="A523" s="1730" t="s">
        <v>1720</v>
      </c>
      <c r="B523" s="1725"/>
      <c r="C523" s="1725"/>
      <c r="D523" s="1725"/>
      <c r="E523" s="1725"/>
      <c r="F523" s="1725"/>
      <c r="G523" s="1725"/>
      <c r="H523" s="1725"/>
      <c r="I523" s="1725"/>
      <c r="J523" s="1725"/>
      <c r="K523" s="1725"/>
      <c r="L523" s="1725"/>
      <c r="M523" s="1726"/>
    </row>
    <row r="524" spans="1:13" s="38" customFormat="1" x14ac:dyDescent="0.2">
      <c r="A524" s="294" t="s">
        <v>281</v>
      </c>
      <c r="B524" s="1347" t="s">
        <v>92</v>
      </c>
      <c r="C524" s="1144"/>
      <c r="D524" s="1145"/>
      <c r="E524" s="1145"/>
      <c r="F524" s="1145" t="s">
        <v>93</v>
      </c>
      <c r="G524" s="1145"/>
      <c r="H524" s="1145"/>
      <c r="I524" s="1146"/>
      <c r="J524" s="1349" t="s">
        <v>94</v>
      </c>
      <c r="K524" s="1349" t="s">
        <v>35</v>
      </c>
      <c r="L524" s="1147" t="s">
        <v>95</v>
      </c>
      <c r="M524" s="1465" t="s">
        <v>86</v>
      </c>
    </row>
    <row r="525" spans="1:13" s="38" customFormat="1" ht="39.75" customHeight="1" x14ac:dyDescent="0.2">
      <c r="A525" s="601" t="s">
        <v>445</v>
      </c>
      <c r="B525" s="1278">
        <v>38100</v>
      </c>
      <c r="C525" s="1757" t="s">
        <v>430</v>
      </c>
      <c r="D525" s="1758"/>
      <c r="E525" s="1758"/>
      <c r="F525" s="1758"/>
      <c r="G525" s="1758"/>
      <c r="H525" s="1758"/>
      <c r="I525" s="1759"/>
      <c r="J525" s="602" t="s">
        <v>236</v>
      </c>
      <c r="K525" s="603">
        <v>2</v>
      </c>
      <c r="L525" s="1470">
        <v>2.4900000000000002</v>
      </c>
      <c r="M525" s="693">
        <f t="shared" ref="M525:M527" si="16">ROUND(K525*L525,2)</f>
        <v>4.9800000000000004</v>
      </c>
    </row>
    <row r="526" spans="1:13" s="38" customFormat="1" x14ac:dyDescent="0.2">
      <c r="A526" s="601" t="s">
        <v>445</v>
      </c>
      <c r="B526" s="1278">
        <v>11186</v>
      </c>
      <c r="C526" s="1757" t="s">
        <v>431</v>
      </c>
      <c r="D526" s="1758"/>
      <c r="E526" s="1758"/>
      <c r="F526" s="1758"/>
      <c r="G526" s="1758"/>
      <c r="H526" s="1758"/>
      <c r="I526" s="1759"/>
      <c r="J526" s="602" t="s">
        <v>252</v>
      </c>
      <c r="K526" s="603">
        <f>0.8*0.5</f>
        <v>0.4</v>
      </c>
      <c r="L526" s="1470">
        <v>540.84</v>
      </c>
      <c r="M526" s="693">
        <f t="shared" si="16"/>
        <v>216.34</v>
      </c>
    </row>
    <row r="527" spans="1:13" s="38" customFormat="1" x14ac:dyDescent="0.2">
      <c r="A527" s="601" t="s">
        <v>282</v>
      </c>
      <c r="B527" s="1278">
        <v>88325</v>
      </c>
      <c r="C527" s="1757" t="s">
        <v>364</v>
      </c>
      <c r="D527" s="1758"/>
      <c r="E527" s="1758"/>
      <c r="F527" s="1758"/>
      <c r="G527" s="1758"/>
      <c r="H527" s="1758"/>
      <c r="I527" s="1759"/>
      <c r="J527" s="602" t="s">
        <v>217</v>
      </c>
      <c r="K527" s="603">
        <v>0.06</v>
      </c>
      <c r="L527" s="1470">
        <v>21.02</v>
      </c>
      <c r="M527" s="693">
        <f t="shared" si="16"/>
        <v>1.26</v>
      </c>
    </row>
    <row r="528" spans="1:13" s="38" customFormat="1" x14ac:dyDescent="0.2">
      <c r="A528" s="605"/>
      <c r="B528" s="1471"/>
      <c r="C528" s="1725" t="s">
        <v>1171</v>
      </c>
      <c r="D528" s="1725"/>
      <c r="E528" s="1725"/>
      <c r="F528" s="1725"/>
      <c r="G528" s="1725"/>
      <c r="H528" s="1725"/>
      <c r="I528" s="1725"/>
      <c r="J528" s="1731"/>
      <c r="K528" s="1344"/>
      <c r="L528" s="161"/>
      <c r="M528" s="1154">
        <f>SUM(M525:M527)</f>
        <v>222.57999999999998</v>
      </c>
    </row>
    <row r="529" spans="1:13" s="38" customFormat="1" x14ac:dyDescent="0.2">
      <c r="A529" s="1352"/>
      <c r="B529" s="1352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</row>
    <row r="530" spans="1:13" s="38" customFormat="1" x14ac:dyDescent="0.2">
      <c r="A530" s="290" t="s">
        <v>375</v>
      </c>
      <c r="B530" s="1730" t="s">
        <v>131</v>
      </c>
      <c r="C530" s="1725"/>
      <c r="D530" s="1725"/>
      <c r="E530" s="1725"/>
      <c r="F530" s="1725"/>
      <c r="G530" s="1725"/>
      <c r="H530" s="1725"/>
      <c r="I530" s="1725"/>
      <c r="J530" s="1725"/>
      <c r="K530" s="1725"/>
      <c r="L530" s="1726"/>
      <c r="M530" s="1143"/>
    </row>
    <row r="531" spans="1:13" x14ac:dyDescent="0.2">
      <c r="A531" s="1462" t="str">
        <f>ORÇ!A434</f>
        <v>16.25</v>
      </c>
      <c r="B531" s="1463"/>
      <c r="C531" s="1721" t="s">
        <v>1172</v>
      </c>
      <c r="D531" s="1722"/>
      <c r="E531" s="1722"/>
      <c r="F531" s="1722"/>
      <c r="G531" s="1722"/>
      <c r="H531" s="1722"/>
      <c r="I531" s="1722"/>
      <c r="J531" s="1722"/>
      <c r="K531" s="1723"/>
      <c r="L531" s="1147" t="s">
        <v>1173</v>
      </c>
      <c r="M531" s="1464" t="s">
        <v>96</v>
      </c>
    </row>
    <row r="532" spans="1:13" s="38" customFormat="1" x14ac:dyDescent="0.2">
      <c r="A532" s="1730" t="s">
        <v>1721</v>
      </c>
      <c r="B532" s="1725"/>
      <c r="C532" s="1725"/>
      <c r="D532" s="1725"/>
      <c r="E532" s="1725"/>
      <c r="F532" s="1725"/>
      <c r="G532" s="1725"/>
      <c r="H532" s="1725"/>
      <c r="I532" s="1725"/>
      <c r="J532" s="1725"/>
      <c r="K532" s="1725"/>
      <c r="L532" s="1725"/>
      <c r="M532" s="1726"/>
    </row>
    <row r="533" spans="1:13" s="38" customFormat="1" x14ac:dyDescent="0.2">
      <c r="A533" s="294" t="s">
        <v>281</v>
      </c>
      <c r="B533" s="1347" t="s">
        <v>92</v>
      </c>
      <c r="C533" s="1144"/>
      <c r="D533" s="1145"/>
      <c r="E533" s="1145"/>
      <c r="F533" s="1145" t="s">
        <v>93</v>
      </c>
      <c r="G533" s="1145"/>
      <c r="H533" s="1145"/>
      <c r="I533" s="1146"/>
      <c r="J533" s="1349" t="s">
        <v>94</v>
      </c>
      <c r="K533" s="1349" t="s">
        <v>35</v>
      </c>
      <c r="L533" s="1147" t="s">
        <v>95</v>
      </c>
      <c r="M533" s="1468"/>
    </row>
    <row r="534" spans="1:13" s="38" customFormat="1" x14ac:dyDescent="0.2">
      <c r="A534" s="1478" t="s">
        <v>282</v>
      </c>
      <c r="B534" s="1478">
        <v>88264</v>
      </c>
      <c r="C534" s="1721" t="s">
        <v>222</v>
      </c>
      <c r="D534" s="1722"/>
      <c r="E534" s="1722"/>
      <c r="F534" s="1722"/>
      <c r="G534" s="1722"/>
      <c r="H534" s="1722"/>
      <c r="I534" s="1723"/>
      <c r="J534" s="602" t="s">
        <v>217</v>
      </c>
      <c r="K534" s="603">
        <v>3</v>
      </c>
      <c r="L534" s="1479">
        <v>21.52</v>
      </c>
      <c r="M534" s="693">
        <f t="shared" ref="M534:M536" si="17">ROUND(K534*L534,2)</f>
        <v>64.56</v>
      </c>
    </row>
    <row r="535" spans="1:13" s="38" customFormat="1" x14ac:dyDescent="0.2">
      <c r="A535" s="602" t="s">
        <v>282</v>
      </c>
      <c r="B535" s="602">
        <v>88247</v>
      </c>
      <c r="C535" s="1721" t="s">
        <v>221</v>
      </c>
      <c r="D535" s="1722"/>
      <c r="E535" s="1722"/>
      <c r="F535" s="1722"/>
      <c r="G535" s="1722"/>
      <c r="H535" s="1722"/>
      <c r="I535" s="1723"/>
      <c r="J535" s="602" t="s">
        <v>217</v>
      </c>
      <c r="K535" s="696">
        <v>3</v>
      </c>
      <c r="L535" s="1276">
        <v>17.75</v>
      </c>
      <c r="M535" s="693">
        <f t="shared" si="17"/>
        <v>53.25</v>
      </c>
    </row>
    <row r="536" spans="1:13" s="38" customFormat="1" ht="31.5" customHeight="1" x14ac:dyDescent="0.2">
      <c r="A536" s="1805" t="s">
        <v>620</v>
      </c>
      <c r="B536" s="1736"/>
      <c r="C536" s="1748" t="s">
        <v>432</v>
      </c>
      <c r="D536" s="1749"/>
      <c r="E536" s="1749"/>
      <c r="F536" s="1749"/>
      <c r="G536" s="1749"/>
      <c r="H536" s="1749"/>
      <c r="I536" s="1750"/>
      <c r="J536" s="602" t="s">
        <v>94</v>
      </c>
      <c r="K536" s="696">
        <v>1</v>
      </c>
      <c r="L536" s="1276">
        <v>3499</v>
      </c>
      <c r="M536" s="693">
        <f t="shared" si="17"/>
        <v>3499</v>
      </c>
    </row>
    <row r="537" spans="1:13" s="38" customFormat="1" x14ac:dyDescent="0.2">
      <c r="A537" s="605"/>
      <c r="B537" s="1471"/>
      <c r="C537" s="1725" t="s">
        <v>1171</v>
      </c>
      <c r="D537" s="1725"/>
      <c r="E537" s="1725"/>
      <c r="F537" s="1725"/>
      <c r="G537" s="1725"/>
      <c r="H537" s="1725"/>
      <c r="I537" s="1725"/>
      <c r="J537" s="1731"/>
      <c r="K537" s="1344"/>
      <c r="L537" s="161"/>
      <c r="M537" s="1154">
        <f>SUM(M534:M536)</f>
        <v>3616.81</v>
      </c>
    </row>
    <row r="538" spans="1:13" s="38" customFormat="1" x14ac:dyDescent="0.2">
      <c r="A538" s="1136"/>
      <c r="B538" s="1136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</row>
    <row r="539" spans="1:13" s="38" customFormat="1" x14ac:dyDescent="0.2">
      <c r="A539" s="290" t="s">
        <v>32</v>
      </c>
      <c r="B539" s="1730" t="s">
        <v>131</v>
      </c>
      <c r="C539" s="1725"/>
      <c r="D539" s="1725"/>
      <c r="E539" s="1725"/>
      <c r="F539" s="1725"/>
      <c r="G539" s="1725"/>
      <c r="H539" s="1725"/>
      <c r="I539" s="1725"/>
      <c r="J539" s="1725"/>
      <c r="K539" s="1725"/>
      <c r="L539" s="1726"/>
      <c r="M539" s="1143"/>
    </row>
    <row r="540" spans="1:13" ht="34.5" customHeight="1" x14ac:dyDescent="0.2">
      <c r="A540" s="291" t="str">
        <f>ORÇ!A105</f>
        <v>9.1.5</v>
      </c>
      <c r="B540" s="623"/>
      <c r="C540" s="1727" t="s">
        <v>642</v>
      </c>
      <c r="D540" s="1728"/>
      <c r="E540" s="1728"/>
      <c r="F540" s="1728"/>
      <c r="G540" s="1728"/>
      <c r="H540" s="1728"/>
      <c r="I540" s="1728"/>
      <c r="J540" s="1728"/>
      <c r="K540" s="1729"/>
      <c r="L540" s="1147" t="s">
        <v>1173</v>
      </c>
      <c r="M540" s="613" t="s">
        <v>6</v>
      </c>
    </row>
    <row r="541" spans="1:13" s="38" customFormat="1" x14ac:dyDescent="0.2">
      <c r="A541" s="1730" t="s">
        <v>958</v>
      </c>
      <c r="B541" s="1725"/>
      <c r="C541" s="1725"/>
      <c r="D541" s="1725"/>
      <c r="E541" s="1725"/>
      <c r="F541" s="1725"/>
      <c r="G541" s="1725"/>
      <c r="H541" s="1725"/>
      <c r="I541" s="1725"/>
      <c r="J541" s="1725"/>
      <c r="K541" s="1725"/>
      <c r="L541" s="1725"/>
      <c r="M541" s="1726"/>
    </row>
    <row r="542" spans="1:13" s="38" customFormat="1" x14ac:dyDescent="0.2">
      <c r="A542" s="294" t="s">
        <v>281</v>
      </c>
      <c r="B542" s="624" t="s">
        <v>92</v>
      </c>
      <c r="C542" s="1144"/>
      <c r="D542" s="1145"/>
      <c r="E542" s="1145"/>
      <c r="F542" s="1145" t="s">
        <v>93</v>
      </c>
      <c r="G542" s="1145"/>
      <c r="H542" s="1145"/>
      <c r="I542" s="1146"/>
      <c r="J542" s="667" t="s">
        <v>94</v>
      </c>
      <c r="K542" s="667" t="s">
        <v>35</v>
      </c>
      <c r="L542" s="1147" t="s">
        <v>95</v>
      </c>
      <c r="M542" s="1170" t="s">
        <v>86</v>
      </c>
    </row>
    <row r="543" spans="1:13" s="38" customFormat="1" ht="42" customHeight="1" x14ac:dyDescent="0.2">
      <c r="A543" s="295" t="s">
        <v>282</v>
      </c>
      <c r="B543" s="1133">
        <v>100674</v>
      </c>
      <c r="C543" s="1757" t="s">
        <v>641</v>
      </c>
      <c r="D543" s="1758"/>
      <c r="E543" s="1758"/>
      <c r="F543" s="1758"/>
      <c r="G543" s="1758"/>
      <c r="H543" s="1758"/>
      <c r="I543" s="1759"/>
      <c r="J543" s="58" t="s">
        <v>252</v>
      </c>
      <c r="K543" s="599">
        <f>1*1</f>
        <v>1</v>
      </c>
      <c r="L543" s="610">
        <v>453.68</v>
      </c>
      <c r="M543" s="693">
        <f t="shared" ref="M543:M548" si="18">ROUND(K543*L543,2)</f>
        <v>453.68</v>
      </c>
    </row>
    <row r="544" spans="1:13" s="38" customFormat="1" ht="45" customHeight="1" x14ac:dyDescent="0.2">
      <c r="A544" s="295" t="s">
        <v>445</v>
      </c>
      <c r="B544" s="1133">
        <v>11795</v>
      </c>
      <c r="C544" s="1757" t="s">
        <v>404</v>
      </c>
      <c r="D544" s="1758"/>
      <c r="E544" s="1758"/>
      <c r="F544" s="1758"/>
      <c r="G544" s="1758"/>
      <c r="H544" s="1758"/>
      <c r="I544" s="1759"/>
      <c r="J544" s="58" t="s">
        <v>252</v>
      </c>
      <c r="K544" s="599">
        <f>1*0.7</f>
        <v>0.7</v>
      </c>
      <c r="L544" s="610">
        <v>475.47</v>
      </c>
      <c r="M544" s="693">
        <f t="shared" si="18"/>
        <v>332.83</v>
      </c>
    </row>
    <row r="545" spans="1:13" s="38" customFormat="1" ht="26.25" customHeight="1" x14ac:dyDescent="0.2">
      <c r="A545" s="295" t="s">
        <v>282</v>
      </c>
      <c r="B545" s="1133">
        <v>100861</v>
      </c>
      <c r="C545" s="1757" t="s">
        <v>434</v>
      </c>
      <c r="D545" s="1758"/>
      <c r="E545" s="1758"/>
      <c r="F545" s="1758"/>
      <c r="G545" s="1758"/>
      <c r="H545" s="1758"/>
      <c r="I545" s="1759"/>
      <c r="J545" s="58" t="s">
        <v>94</v>
      </c>
      <c r="K545" s="599">
        <v>2</v>
      </c>
      <c r="L545" s="610">
        <v>37.880000000000003</v>
      </c>
      <c r="M545" s="693">
        <f t="shared" si="18"/>
        <v>75.760000000000005</v>
      </c>
    </row>
    <row r="546" spans="1:13" s="38" customFormat="1" x14ac:dyDescent="0.2">
      <c r="A546" s="295" t="s">
        <v>445</v>
      </c>
      <c r="B546" s="1133">
        <v>4823</v>
      </c>
      <c r="C546" s="1757" t="s">
        <v>402</v>
      </c>
      <c r="D546" s="1758"/>
      <c r="E546" s="1758"/>
      <c r="F546" s="1758"/>
      <c r="G546" s="1758"/>
      <c r="H546" s="1758"/>
      <c r="I546" s="1759"/>
      <c r="J546" s="58" t="s">
        <v>216</v>
      </c>
      <c r="K546" s="599">
        <v>0.8</v>
      </c>
      <c r="L546" s="610">
        <v>49.68</v>
      </c>
      <c r="M546" s="693">
        <f t="shared" si="18"/>
        <v>39.74</v>
      </c>
    </row>
    <row r="547" spans="1:13" s="38" customFormat="1" ht="26.25" customHeight="1" x14ac:dyDescent="0.2">
      <c r="A547" s="58" t="s">
        <v>282</v>
      </c>
      <c r="B547" s="1133">
        <v>88274</v>
      </c>
      <c r="C547" s="1757" t="s">
        <v>410</v>
      </c>
      <c r="D547" s="1758"/>
      <c r="E547" s="1758"/>
      <c r="F547" s="1758"/>
      <c r="G547" s="1758"/>
      <c r="H547" s="1758"/>
      <c r="I547" s="1759"/>
      <c r="J547" s="58" t="s">
        <v>217</v>
      </c>
      <c r="K547" s="599">
        <v>1.5</v>
      </c>
      <c r="L547" s="610">
        <v>21.91</v>
      </c>
      <c r="M547" s="693">
        <f t="shared" si="18"/>
        <v>32.869999999999997</v>
      </c>
    </row>
    <row r="548" spans="1:13" s="38" customFormat="1" x14ac:dyDescent="0.2">
      <c r="A548" s="58" t="s">
        <v>282</v>
      </c>
      <c r="B548" s="1133">
        <v>88316</v>
      </c>
      <c r="C548" s="1757" t="s">
        <v>99</v>
      </c>
      <c r="D548" s="1758"/>
      <c r="E548" s="1758"/>
      <c r="F548" s="1758"/>
      <c r="G548" s="1758"/>
      <c r="H548" s="1758"/>
      <c r="I548" s="1758"/>
      <c r="J548" s="58" t="s">
        <v>217</v>
      </c>
      <c r="K548" s="599">
        <v>0.98</v>
      </c>
      <c r="L548" s="610">
        <v>17.09</v>
      </c>
      <c r="M548" s="693">
        <f t="shared" si="18"/>
        <v>16.75</v>
      </c>
    </row>
    <row r="549" spans="1:13" s="38" customFormat="1" x14ac:dyDescent="0.2">
      <c r="A549" s="296"/>
      <c r="B549" s="1130"/>
      <c r="C549" s="1725" t="s">
        <v>1171</v>
      </c>
      <c r="D549" s="1725"/>
      <c r="E549" s="1725"/>
      <c r="F549" s="1725"/>
      <c r="G549" s="1725"/>
      <c r="H549" s="1725"/>
      <c r="I549" s="1725"/>
      <c r="J549" s="1731"/>
      <c r="K549" s="669"/>
      <c r="L549" s="161"/>
      <c r="M549" s="1154">
        <f>SUM(M543:M548)</f>
        <v>951.63</v>
      </c>
    </row>
    <row r="551" spans="1:13" s="38" customFormat="1" ht="13.5" customHeight="1" x14ac:dyDescent="0.2">
      <c r="A551" s="290" t="s">
        <v>32</v>
      </c>
      <c r="B551" s="1730" t="s">
        <v>131</v>
      </c>
      <c r="C551" s="1725"/>
      <c r="D551" s="1725"/>
      <c r="E551" s="1725"/>
      <c r="F551" s="1725"/>
      <c r="G551" s="1725"/>
      <c r="H551" s="1725"/>
      <c r="I551" s="1725"/>
      <c r="J551" s="1725"/>
      <c r="K551" s="1725"/>
      <c r="L551" s="1726"/>
      <c r="M551" s="1143"/>
    </row>
    <row r="552" spans="1:13" ht="48.75" customHeight="1" x14ac:dyDescent="0.2">
      <c r="A552" s="291" t="str">
        <f>ORÇ!A447</f>
        <v>18.3</v>
      </c>
      <c r="B552" s="623"/>
      <c r="C552" s="1727" t="s">
        <v>572</v>
      </c>
      <c r="D552" s="1728"/>
      <c r="E552" s="1728"/>
      <c r="F552" s="1728"/>
      <c r="G552" s="1728"/>
      <c r="H552" s="1728"/>
      <c r="I552" s="1728"/>
      <c r="J552" s="1728"/>
      <c r="K552" s="1729"/>
      <c r="L552" s="1147" t="s">
        <v>1173</v>
      </c>
      <c r="M552" s="613" t="s">
        <v>96</v>
      </c>
    </row>
    <row r="553" spans="1:13" s="38" customFormat="1" x14ac:dyDescent="0.2">
      <c r="A553" s="1730" t="s">
        <v>984</v>
      </c>
      <c r="B553" s="1725"/>
      <c r="C553" s="1725"/>
      <c r="D553" s="1725"/>
      <c r="E553" s="1725"/>
      <c r="F553" s="1725"/>
      <c r="G553" s="1725"/>
      <c r="H553" s="1725"/>
      <c r="I553" s="1725"/>
      <c r="J553" s="1725"/>
      <c r="K553" s="1725"/>
      <c r="L553" s="1725"/>
      <c r="M553" s="1726"/>
    </row>
    <row r="554" spans="1:13" s="38" customFormat="1" x14ac:dyDescent="0.2">
      <c r="A554" s="294" t="s">
        <v>281</v>
      </c>
      <c r="B554" s="624" t="s">
        <v>92</v>
      </c>
      <c r="C554" s="1144"/>
      <c r="D554" s="1145"/>
      <c r="E554" s="1145"/>
      <c r="F554" s="1145" t="s">
        <v>93</v>
      </c>
      <c r="G554" s="1145"/>
      <c r="H554" s="1145"/>
      <c r="I554" s="1146"/>
      <c r="J554" s="667" t="s">
        <v>94</v>
      </c>
      <c r="K554" s="667" t="s">
        <v>35</v>
      </c>
      <c r="L554" s="1147" t="s">
        <v>95</v>
      </c>
      <c r="M554" s="1170" t="s">
        <v>86</v>
      </c>
    </row>
    <row r="555" spans="1:13" s="38" customFormat="1" ht="35.25" customHeight="1" x14ac:dyDescent="0.2">
      <c r="A555" s="295" t="s">
        <v>282</v>
      </c>
      <c r="B555" s="1133">
        <v>93358</v>
      </c>
      <c r="C555" s="1757" t="s">
        <v>271</v>
      </c>
      <c r="D555" s="1758"/>
      <c r="E555" s="1758"/>
      <c r="F555" s="1758"/>
      <c r="G555" s="1758"/>
      <c r="H555" s="1758"/>
      <c r="I555" s="1759"/>
      <c r="J555" s="58" t="s">
        <v>218</v>
      </c>
      <c r="K555" s="599">
        <f>ROUND((0.2*0.2*0.2*2),2)</f>
        <v>0.02</v>
      </c>
      <c r="L555" s="610">
        <v>67.599999999999994</v>
      </c>
      <c r="M555" s="693">
        <f t="shared" ref="M555:M563" si="19">ROUND(K555*L555,2)</f>
        <v>1.35</v>
      </c>
    </row>
    <row r="556" spans="1:13" s="38" customFormat="1" ht="35.25" customHeight="1" x14ac:dyDescent="0.2">
      <c r="A556" s="295" t="s">
        <v>282</v>
      </c>
      <c r="B556" s="1133">
        <v>96619</v>
      </c>
      <c r="C556" s="1757" t="s">
        <v>235</v>
      </c>
      <c r="D556" s="1758"/>
      <c r="E556" s="1758"/>
      <c r="F556" s="1758"/>
      <c r="G556" s="1758"/>
      <c r="H556" s="1758"/>
      <c r="I556" s="1759"/>
      <c r="J556" s="58" t="s">
        <v>215</v>
      </c>
      <c r="K556" s="599">
        <f>ROUND(((0.2*0.2)*2),2)</f>
        <v>0.08</v>
      </c>
      <c r="L556" s="610">
        <v>31.12</v>
      </c>
      <c r="M556" s="693">
        <f t="shared" si="19"/>
        <v>2.4900000000000002</v>
      </c>
    </row>
    <row r="557" spans="1:13" s="38" customFormat="1" ht="42" customHeight="1" x14ac:dyDescent="0.2">
      <c r="A557" s="295" t="s">
        <v>282</v>
      </c>
      <c r="B557" s="1133">
        <v>96536</v>
      </c>
      <c r="C557" s="1757" t="s">
        <v>223</v>
      </c>
      <c r="D557" s="1758"/>
      <c r="E557" s="1758"/>
      <c r="F557" s="1758"/>
      <c r="G557" s="1758"/>
      <c r="H557" s="1758"/>
      <c r="I557" s="1759"/>
      <c r="J557" s="58" t="s">
        <v>215</v>
      </c>
      <c r="K557" s="599">
        <f>ROUND(((0.2+0.15)*8),2)</f>
        <v>2.8</v>
      </c>
      <c r="L557" s="610">
        <v>64.47</v>
      </c>
      <c r="M557" s="693">
        <f t="shared" si="19"/>
        <v>180.52</v>
      </c>
    </row>
    <row r="558" spans="1:13" s="38" customFormat="1" ht="28.5" customHeight="1" x14ac:dyDescent="0.2">
      <c r="A558" s="295" t="s">
        <v>282</v>
      </c>
      <c r="B558" s="1133">
        <v>102487</v>
      </c>
      <c r="C558" s="1757" t="s">
        <v>570</v>
      </c>
      <c r="D558" s="1758"/>
      <c r="E558" s="1758"/>
      <c r="F558" s="1758"/>
      <c r="G558" s="1758"/>
      <c r="H558" s="1758"/>
      <c r="I558" s="1759"/>
      <c r="J558" s="58" t="s">
        <v>218</v>
      </c>
      <c r="K558" s="599">
        <f>ROUND(((0.2*0.2*0.15)*2),2)</f>
        <v>0.01</v>
      </c>
      <c r="L558" s="610">
        <v>571.62</v>
      </c>
      <c r="M558" s="693">
        <f t="shared" si="19"/>
        <v>5.72</v>
      </c>
    </row>
    <row r="559" spans="1:13" s="38" customFormat="1" ht="45" customHeight="1" x14ac:dyDescent="0.2">
      <c r="A559" s="295" t="s">
        <v>282</v>
      </c>
      <c r="B559" s="1133">
        <v>96536</v>
      </c>
      <c r="C559" s="1757" t="s">
        <v>223</v>
      </c>
      <c r="D559" s="1758"/>
      <c r="E559" s="1758"/>
      <c r="F559" s="1758"/>
      <c r="G559" s="1758"/>
      <c r="H559" s="1758"/>
      <c r="I559" s="1759"/>
      <c r="J559" s="58" t="s">
        <v>215</v>
      </c>
      <c r="K559" s="599">
        <f>ROUND((0.9+0.36+0.1),2)</f>
        <v>1.36</v>
      </c>
      <c r="L559" s="610">
        <v>64.47</v>
      </c>
      <c r="M559" s="693">
        <f t="shared" si="19"/>
        <v>87.68</v>
      </c>
    </row>
    <row r="560" spans="1:13" s="38" customFormat="1" ht="45" customHeight="1" x14ac:dyDescent="0.2">
      <c r="A560" s="295" t="s">
        <v>282</v>
      </c>
      <c r="B560" s="1133">
        <v>94963</v>
      </c>
      <c r="C560" s="1757" t="s">
        <v>461</v>
      </c>
      <c r="D560" s="1758"/>
      <c r="E560" s="1758"/>
      <c r="F560" s="1758"/>
      <c r="G560" s="1758"/>
      <c r="H560" s="1758"/>
      <c r="I560" s="1759"/>
      <c r="J560" s="58" t="s">
        <v>218</v>
      </c>
      <c r="K560" s="599">
        <f>ROUND((0.45*0.1*0.5)+(1.8*0.5*0.1),2)</f>
        <v>0.11</v>
      </c>
      <c r="L560" s="610">
        <v>467.02</v>
      </c>
      <c r="M560" s="693">
        <f t="shared" si="19"/>
        <v>51.37</v>
      </c>
    </row>
    <row r="561" spans="1:15" s="38" customFormat="1" ht="45" customHeight="1" x14ac:dyDescent="0.2">
      <c r="A561" s="295" t="s">
        <v>282</v>
      </c>
      <c r="B561" s="1133">
        <v>92915</v>
      </c>
      <c r="C561" s="1757" t="s">
        <v>272</v>
      </c>
      <c r="D561" s="1758"/>
      <c r="E561" s="1758"/>
      <c r="F561" s="1758"/>
      <c r="G561" s="1758"/>
      <c r="H561" s="1758"/>
      <c r="I561" s="1759"/>
      <c r="J561" s="58" t="s">
        <v>216</v>
      </c>
      <c r="K561" s="599">
        <v>4.07</v>
      </c>
      <c r="L561" s="610">
        <v>15.7</v>
      </c>
      <c r="M561" s="693">
        <f t="shared" si="19"/>
        <v>63.9</v>
      </c>
    </row>
    <row r="562" spans="1:15" s="38" customFormat="1" ht="45" customHeight="1" x14ac:dyDescent="0.2">
      <c r="A562" s="295" t="s">
        <v>282</v>
      </c>
      <c r="B562" s="1133">
        <v>92917</v>
      </c>
      <c r="C562" s="1757" t="s">
        <v>253</v>
      </c>
      <c r="D562" s="1758"/>
      <c r="E562" s="1758"/>
      <c r="F562" s="1758"/>
      <c r="G562" s="1758"/>
      <c r="H562" s="1758"/>
      <c r="I562" s="1759"/>
      <c r="J562" s="58" t="s">
        <v>216</v>
      </c>
      <c r="K562" s="599">
        <v>11.73</v>
      </c>
      <c r="L562" s="610">
        <v>13.97</v>
      </c>
      <c r="M562" s="693">
        <f t="shared" si="19"/>
        <v>163.87</v>
      </c>
    </row>
    <row r="563" spans="1:15" s="38" customFormat="1" ht="39" customHeight="1" x14ac:dyDescent="0.2">
      <c r="A563" s="295" t="s">
        <v>282</v>
      </c>
      <c r="B563" s="1133">
        <v>102491</v>
      </c>
      <c r="C563" s="1757" t="s">
        <v>571</v>
      </c>
      <c r="D563" s="1758"/>
      <c r="E563" s="1758"/>
      <c r="F563" s="1758"/>
      <c r="G563" s="1758"/>
      <c r="H563" s="1758"/>
      <c r="I563" s="1759"/>
      <c r="J563" s="58" t="s">
        <v>215</v>
      </c>
      <c r="K563" s="599">
        <f>ROUND((((0.45*0.5)*2)+((1.8*0.5)*2)),2)</f>
        <v>2.25</v>
      </c>
      <c r="L563" s="610">
        <v>16.37</v>
      </c>
      <c r="M563" s="693">
        <f t="shared" si="19"/>
        <v>36.83</v>
      </c>
    </row>
    <row r="564" spans="1:15" s="38" customFormat="1" x14ac:dyDescent="0.2">
      <c r="A564" s="296"/>
      <c r="B564" s="1130"/>
      <c r="C564" s="1725" t="s">
        <v>1171</v>
      </c>
      <c r="D564" s="1725"/>
      <c r="E564" s="1725"/>
      <c r="F564" s="1725"/>
      <c r="G564" s="1725"/>
      <c r="H564" s="1725"/>
      <c r="I564" s="1725"/>
      <c r="J564" s="1731"/>
      <c r="K564" s="669"/>
      <c r="L564" s="161"/>
      <c r="M564" s="1154">
        <f>SUM(M555:M563)</f>
        <v>593.73</v>
      </c>
    </row>
    <row r="566" spans="1:15" x14ac:dyDescent="0.2">
      <c r="A566" s="664" t="s">
        <v>375</v>
      </c>
      <c r="B566" s="1730" t="s">
        <v>131</v>
      </c>
      <c r="C566" s="1725"/>
      <c r="D566" s="1725"/>
      <c r="E566" s="1725"/>
      <c r="F566" s="1725"/>
      <c r="G566" s="1725"/>
      <c r="H566" s="1725"/>
      <c r="I566" s="1725"/>
      <c r="J566" s="1725"/>
      <c r="K566" s="1725"/>
      <c r="L566" s="1726"/>
      <c r="M566" s="1143"/>
    </row>
    <row r="567" spans="1:15" ht="25.5" customHeight="1" x14ac:dyDescent="0.2">
      <c r="A567" s="291" t="str">
        <f>ORÇ!A387</f>
        <v>15.5</v>
      </c>
      <c r="B567" s="623"/>
      <c r="C567" s="1727" t="s">
        <v>588</v>
      </c>
      <c r="D567" s="1728"/>
      <c r="E567" s="1728"/>
      <c r="F567" s="1728"/>
      <c r="G567" s="1728"/>
      <c r="H567" s="1728"/>
      <c r="I567" s="1728"/>
      <c r="J567" s="1728"/>
      <c r="K567" s="1729"/>
      <c r="L567" s="1147" t="s">
        <v>1173</v>
      </c>
      <c r="M567" s="613" t="s">
        <v>17</v>
      </c>
    </row>
    <row r="568" spans="1:15" x14ac:dyDescent="0.2">
      <c r="A568" s="1724" t="s">
        <v>1024</v>
      </c>
      <c r="B568" s="1725"/>
      <c r="C568" s="1725"/>
      <c r="D568" s="1725"/>
      <c r="E568" s="1725"/>
      <c r="F568" s="1725"/>
      <c r="G568" s="1725"/>
      <c r="H568" s="1725"/>
      <c r="I568" s="1725"/>
      <c r="J568" s="1725"/>
      <c r="K568" s="1725"/>
      <c r="L568" s="1725"/>
      <c r="M568" s="1726"/>
    </row>
    <row r="569" spans="1:15" x14ac:dyDescent="0.2">
      <c r="A569" s="666" t="s">
        <v>281</v>
      </c>
      <c r="B569" s="667" t="s">
        <v>92</v>
      </c>
      <c r="C569" s="1761" t="s">
        <v>93</v>
      </c>
      <c r="D569" s="1762"/>
      <c r="E569" s="1762"/>
      <c r="F569" s="1762"/>
      <c r="G569" s="1762"/>
      <c r="H569" s="1762"/>
      <c r="I569" s="1763"/>
      <c r="J569" s="667" t="s">
        <v>94</v>
      </c>
      <c r="K569" s="667" t="s">
        <v>35</v>
      </c>
      <c r="L569" s="1157" t="s">
        <v>95</v>
      </c>
      <c r="M569" s="1147" t="s">
        <v>86</v>
      </c>
      <c r="O569" s="760"/>
    </row>
    <row r="570" spans="1:15" x14ac:dyDescent="0.2">
      <c r="A570" s="1134" t="s">
        <v>445</v>
      </c>
      <c r="B570" s="58">
        <v>7348</v>
      </c>
      <c r="C570" s="1747" t="s">
        <v>589</v>
      </c>
      <c r="D570" s="1747"/>
      <c r="E570" s="1747"/>
      <c r="F570" s="1747"/>
      <c r="G570" s="1747"/>
      <c r="H570" s="1747"/>
      <c r="I570" s="1747"/>
      <c r="J570" s="58" t="s">
        <v>590</v>
      </c>
      <c r="K570" s="599">
        <v>0.02</v>
      </c>
      <c r="L570" s="1283">
        <v>16.52</v>
      </c>
      <c r="M570" s="693">
        <f t="shared" ref="M570:M573" si="20">ROUND(K570*L570,2)</f>
        <v>0.33</v>
      </c>
      <c r="O570" s="693"/>
    </row>
    <row r="571" spans="1:15" x14ac:dyDescent="0.2">
      <c r="A571" s="1134" t="s">
        <v>445</v>
      </c>
      <c r="B571" s="58">
        <v>12815</v>
      </c>
      <c r="C571" s="1747" t="s">
        <v>591</v>
      </c>
      <c r="D571" s="1747"/>
      <c r="E571" s="1747"/>
      <c r="F571" s="1747"/>
      <c r="G571" s="1747"/>
      <c r="H571" s="1747"/>
      <c r="I571" s="1747"/>
      <c r="J571" s="58" t="s">
        <v>236</v>
      </c>
      <c r="K571" s="599">
        <v>0.04</v>
      </c>
      <c r="L571" s="1283">
        <v>5.98</v>
      </c>
      <c r="M571" s="693">
        <f t="shared" si="20"/>
        <v>0.24</v>
      </c>
      <c r="O571" s="693"/>
    </row>
    <row r="572" spans="1:15" x14ac:dyDescent="0.2">
      <c r="A572" s="1134" t="s">
        <v>282</v>
      </c>
      <c r="B572" s="58">
        <v>88310</v>
      </c>
      <c r="C572" s="1747" t="s">
        <v>592</v>
      </c>
      <c r="D572" s="1747"/>
      <c r="E572" s="1747"/>
      <c r="F572" s="1747"/>
      <c r="G572" s="1747"/>
      <c r="H572" s="1747"/>
      <c r="I572" s="1747"/>
      <c r="J572" s="58" t="s">
        <v>217</v>
      </c>
      <c r="K572" s="599">
        <v>0.24</v>
      </c>
      <c r="L572" s="1283">
        <v>22.38</v>
      </c>
      <c r="M572" s="693">
        <f t="shared" si="20"/>
        <v>5.37</v>
      </c>
      <c r="O572" s="693"/>
    </row>
    <row r="573" spans="1:15" x14ac:dyDescent="0.2">
      <c r="A573" s="1134" t="s">
        <v>282</v>
      </c>
      <c r="B573" s="58" t="s">
        <v>498</v>
      </c>
      <c r="C573" s="1747" t="s">
        <v>99</v>
      </c>
      <c r="D573" s="1747"/>
      <c r="E573" s="1747"/>
      <c r="F573" s="1747"/>
      <c r="G573" s="1747"/>
      <c r="H573" s="1747"/>
      <c r="I573" s="1747"/>
      <c r="J573" s="58" t="s">
        <v>217</v>
      </c>
      <c r="K573" s="599">
        <v>0.1</v>
      </c>
      <c r="L573" s="1283">
        <v>17.09</v>
      </c>
      <c r="M573" s="693">
        <f t="shared" si="20"/>
        <v>1.71</v>
      </c>
      <c r="O573" s="693"/>
    </row>
    <row r="574" spans="1:15" x14ac:dyDescent="0.2">
      <c r="A574" s="292"/>
      <c r="B574" s="1131"/>
      <c r="C574" s="1730" t="s">
        <v>1171</v>
      </c>
      <c r="D574" s="1725"/>
      <c r="E574" s="1725"/>
      <c r="F574" s="1725"/>
      <c r="G574" s="1725"/>
      <c r="H574" s="1725"/>
      <c r="I574" s="1725"/>
      <c r="J574" s="1731"/>
      <c r="K574" s="669"/>
      <c r="L574" s="1159"/>
      <c r="M574" s="1148">
        <f>SUM(M570:M573)</f>
        <v>7.65</v>
      </c>
    </row>
    <row r="576" spans="1:15" x14ac:dyDescent="0.2">
      <c r="A576" s="664" t="s">
        <v>375</v>
      </c>
      <c r="B576" s="1730" t="s">
        <v>131</v>
      </c>
      <c r="C576" s="1725"/>
      <c r="D576" s="1725"/>
      <c r="E576" s="1725"/>
      <c r="F576" s="1725"/>
      <c r="G576" s="1725"/>
      <c r="H576" s="1725"/>
      <c r="I576" s="1725"/>
      <c r="J576" s="1725"/>
      <c r="K576" s="1725"/>
      <c r="L576" s="1726"/>
      <c r="M576" s="1143"/>
    </row>
    <row r="577" spans="1:16" ht="50.25" customHeight="1" x14ac:dyDescent="0.2">
      <c r="A577" s="291" t="str">
        <f>ORÇ!A440</f>
        <v>17.2</v>
      </c>
      <c r="B577" s="623"/>
      <c r="C577" s="1727" t="s">
        <v>1134</v>
      </c>
      <c r="D577" s="1728"/>
      <c r="E577" s="1728"/>
      <c r="F577" s="1728"/>
      <c r="G577" s="1728"/>
      <c r="H577" s="1728"/>
      <c r="I577" s="1728"/>
      <c r="J577" s="1728"/>
      <c r="K577" s="1729"/>
      <c r="L577" s="1147" t="s">
        <v>1173</v>
      </c>
      <c r="M577" s="1169" t="s">
        <v>17</v>
      </c>
    </row>
    <row r="578" spans="1:16" x14ac:dyDescent="0.2">
      <c r="A578" s="1724" t="s">
        <v>1025</v>
      </c>
      <c r="B578" s="1725"/>
      <c r="C578" s="1725"/>
      <c r="D578" s="1725"/>
      <c r="E578" s="1725"/>
      <c r="F578" s="1725"/>
      <c r="G578" s="1725"/>
      <c r="H578" s="1725"/>
      <c r="I578" s="1725"/>
      <c r="J578" s="1725"/>
      <c r="K578" s="1725"/>
      <c r="L578" s="1725"/>
      <c r="M578" s="1726"/>
    </row>
    <row r="579" spans="1:16" x14ac:dyDescent="0.2">
      <c r="A579" s="667" t="s">
        <v>281</v>
      </c>
      <c r="B579" s="667" t="s">
        <v>92</v>
      </c>
      <c r="C579" s="1738" t="s">
        <v>93</v>
      </c>
      <c r="D579" s="1739"/>
      <c r="E579" s="1739"/>
      <c r="F579" s="1739"/>
      <c r="G579" s="1739"/>
      <c r="H579" s="1739"/>
      <c r="I579" s="1740"/>
      <c r="J579" s="667" t="s">
        <v>94</v>
      </c>
      <c r="K579" s="667" t="s">
        <v>35</v>
      </c>
      <c r="L579" s="1157" t="s">
        <v>95</v>
      </c>
      <c r="M579" s="1147" t="s">
        <v>86</v>
      </c>
    </row>
    <row r="580" spans="1:16" ht="34.5" customHeight="1" x14ac:dyDescent="0.2">
      <c r="A580" s="58" t="s">
        <v>282</v>
      </c>
      <c r="B580" s="58">
        <v>96523</v>
      </c>
      <c r="C580" s="1744" t="s">
        <v>643</v>
      </c>
      <c r="D580" s="1745"/>
      <c r="E580" s="1745"/>
      <c r="F580" s="1745"/>
      <c r="G580" s="1745"/>
      <c r="H580" s="1745"/>
      <c r="I580" s="1746"/>
      <c r="J580" s="58" t="s">
        <v>373</v>
      </c>
      <c r="K580" s="1115">
        <f>ROUND(((0.4*0.4*0.65)*0.5)+(0.3*0.3*1),2)</f>
        <v>0.14000000000000001</v>
      </c>
      <c r="L580" s="1284">
        <v>77.5</v>
      </c>
      <c r="M580" s="693">
        <f t="shared" ref="M580:M591" si="21">ROUND(K580*L580,2)</f>
        <v>10.85</v>
      </c>
    </row>
    <row r="581" spans="1:16" ht="34.5" customHeight="1" x14ac:dyDescent="0.2">
      <c r="A581" s="58" t="s">
        <v>282</v>
      </c>
      <c r="B581" s="58">
        <v>96619</v>
      </c>
      <c r="C581" s="1744" t="s">
        <v>235</v>
      </c>
      <c r="D581" s="1745"/>
      <c r="E581" s="1745"/>
      <c r="F581" s="1745"/>
      <c r="G581" s="1745"/>
      <c r="H581" s="1745"/>
      <c r="I581" s="1746"/>
      <c r="J581" s="58" t="s">
        <v>252</v>
      </c>
      <c r="K581" s="1115">
        <f>ROUND(((0.4*0.4)+(0.3*1)),2)</f>
        <v>0.46</v>
      </c>
      <c r="L581" s="1284">
        <v>31.12</v>
      </c>
      <c r="M581" s="693">
        <f t="shared" si="21"/>
        <v>14.32</v>
      </c>
    </row>
    <row r="582" spans="1:16" ht="45" customHeight="1" x14ac:dyDescent="0.2">
      <c r="A582" s="58" t="s">
        <v>282</v>
      </c>
      <c r="B582" s="58">
        <v>96536</v>
      </c>
      <c r="C582" s="1744" t="s">
        <v>223</v>
      </c>
      <c r="D582" s="1745"/>
      <c r="E582" s="1745"/>
      <c r="F582" s="1745"/>
      <c r="G582" s="1745"/>
      <c r="H582" s="1745"/>
      <c r="I582" s="1746"/>
      <c r="J582" s="58" t="s">
        <v>252</v>
      </c>
      <c r="K582" s="1115">
        <f>ROUND((((0.3*0.3)*0.5)+(0.3+0.3)*1),2)</f>
        <v>0.65</v>
      </c>
      <c r="L582" s="1285">
        <v>64.47</v>
      </c>
      <c r="M582" s="693">
        <f t="shared" si="21"/>
        <v>41.91</v>
      </c>
    </row>
    <row r="583" spans="1:16" ht="34.5" customHeight="1" x14ac:dyDescent="0.2">
      <c r="A583" s="58" t="s">
        <v>282</v>
      </c>
      <c r="B583" s="58">
        <v>102487</v>
      </c>
      <c r="C583" s="1744" t="s">
        <v>570</v>
      </c>
      <c r="D583" s="1745"/>
      <c r="E583" s="1745"/>
      <c r="F583" s="1745"/>
      <c r="G583" s="1745"/>
      <c r="H583" s="1745"/>
      <c r="I583" s="1746"/>
      <c r="J583" s="58" t="s">
        <v>373</v>
      </c>
      <c r="K583" s="401">
        <f>ROUND((0.3*0.2*1)+(0.3*0.3*0.6),2)</f>
        <v>0.11</v>
      </c>
      <c r="L583" s="1285">
        <v>571.62</v>
      </c>
      <c r="M583" s="693">
        <f t="shared" si="21"/>
        <v>62.88</v>
      </c>
    </row>
    <row r="584" spans="1:16" ht="34.5" customHeight="1" x14ac:dyDescent="0.2">
      <c r="A584" s="629" t="s">
        <v>445</v>
      </c>
      <c r="B584" s="58">
        <v>7694</v>
      </c>
      <c r="C584" s="1747" t="s">
        <v>617</v>
      </c>
      <c r="D584" s="1747"/>
      <c r="E584" s="1747"/>
      <c r="F584" s="1747"/>
      <c r="G584" s="1747"/>
      <c r="H584" s="1747"/>
      <c r="I584" s="1747"/>
      <c r="J584" s="599" t="s">
        <v>214</v>
      </c>
      <c r="K584" s="1115">
        <f>(2+0.6)/2.5</f>
        <v>1.04</v>
      </c>
      <c r="L584" s="1283">
        <v>166.68</v>
      </c>
      <c r="M584" s="693">
        <f t="shared" si="21"/>
        <v>173.35</v>
      </c>
      <c r="N584" t="s">
        <v>1165</v>
      </c>
    </row>
    <row r="585" spans="1:16" ht="34.5" customHeight="1" x14ac:dyDescent="0.2">
      <c r="A585" s="629" t="s">
        <v>445</v>
      </c>
      <c r="B585" s="58">
        <v>10935</v>
      </c>
      <c r="C585" s="1747" t="s">
        <v>618</v>
      </c>
      <c r="D585" s="1747"/>
      <c r="E585" s="1747"/>
      <c r="F585" s="1747"/>
      <c r="G585" s="1747"/>
      <c r="H585" s="1747"/>
      <c r="I585" s="1747"/>
      <c r="J585" s="599" t="s">
        <v>252</v>
      </c>
      <c r="K585" s="1115">
        <f>(2*1)</f>
        <v>2</v>
      </c>
      <c r="L585" s="1283">
        <v>47.46</v>
      </c>
      <c r="M585" s="693">
        <f t="shared" si="21"/>
        <v>94.92</v>
      </c>
    </row>
    <row r="586" spans="1:16" ht="63.75" customHeight="1" x14ac:dyDescent="0.2">
      <c r="A586" s="615" t="s">
        <v>282</v>
      </c>
      <c r="B586" s="58">
        <v>100758</v>
      </c>
      <c r="C586" s="1772" t="s">
        <v>523</v>
      </c>
      <c r="D586" s="1772"/>
      <c r="E586" s="1772"/>
      <c r="F586" s="1772"/>
      <c r="G586" s="1772"/>
      <c r="H586" s="1772"/>
      <c r="I586" s="1772"/>
      <c r="J586" s="401" t="s">
        <v>252</v>
      </c>
      <c r="K586" s="402">
        <f>K585</f>
        <v>2</v>
      </c>
      <c r="L586" s="1183">
        <v>38.119999999999997</v>
      </c>
      <c r="M586" s="693">
        <f t="shared" si="21"/>
        <v>76.239999999999995</v>
      </c>
      <c r="P586">
        <f>2.6/2.5</f>
        <v>1.04</v>
      </c>
    </row>
    <row r="587" spans="1:16" ht="34.5" customHeight="1" x14ac:dyDescent="0.2">
      <c r="A587" s="615" t="s">
        <v>445</v>
      </c>
      <c r="B587" s="1139">
        <v>43130</v>
      </c>
      <c r="C587" s="1741" t="s">
        <v>1133</v>
      </c>
      <c r="D587" s="1742"/>
      <c r="E587" s="1742"/>
      <c r="F587" s="1742"/>
      <c r="G587" s="1742"/>
      <c r="H587" s="1742"/>
      <c r="I587" s="1743"/>
      <c r="J587" s="401" t="s">
        <v>216</v>
      </c>
      <c r="K587" s="402">
        <v>0.08</v>
      </c>
      <c r="L587" s="1183">
        <v>23.43</v>
      </c>
      <c r="M587" s="693">
        <f t="shared" si="21"/>
        <v>1.87</v>
      </c>
      <c r="O587" s="1140">
        <f>M592/2</f>
        <v>281.72500000000002</v>
      </c>
    </row>
    <row r="588" spans="1:16" x14ac:dyDescent="0.2">
      <c r="A588" s="615" t="s">
        <v>445</v>
      </c>
      <c r="B588" s="1139">
        <v>10997</v>
      </c>
      <c r="C588" s="1160" t="s">
        <v>1132</v>
      </c>
      <c r="D588" s="1161"/>
      <c r="E588" s="1161"/>
      <c r="F588" s="1161"/>
      <c r="G588" s="1161"/>
      <c r="H588" s="1161"/>
      <c r="I588" s="1162"/>
      <c r="J588" s="401" t="s">
        <v>216</v>
      </c>
      <c r="K588" s="402">
        <v>0.25</v>
      </c>
      <c r="L588" s="1286">
        <v>33</v>
      </c>
      <c r="M588" s="693">
        <f t="shared" si="21"/>
        <v>8.25</v>
      </c>
    </row>
    <row r="589" spans="1:16" x14ac:dyDescent="0.2">
      <c r="A589" s="629" t="s">
        <v>282</v>
      </c>
      <c r="B589" s="58">
        <v>88315</v>
      </c>
      <c r="C589" s="1764" t="s">
        <v>841</v>
      </c>
      <c r="D589" s="1765"/>
      <c r="E589" s="1765"/>
      <c r="F589" s="1765"/>
      <c r="G589" s="1765"/>
      <c r="H589" s="1765"/>
      <c r="I589" s="1766"/>
      <c r="J589" s="599" t="s">
        <v>217</v>
      </c>
      <c r="K589" s="1115">
        <v>1</v>
      </c>
      <c r="L589" s="1283">
        <v>21.19</v>
      </c>
      <c r="M589" s="693">
        <f t="shared" si="21"/>
        <v>21.19</v>
      </c>
    </row>
    <row r="590" spans="1:16" x14ac:dyDescent="0.2">
      <c r="A590" s="629" t="s">
        <v>282</v>
      </c>
      <c r="B590" s="58" t="s">
        <v>524</v>
      </c>
      <c r="C590" s="1747" t="s">
        <v>377</v>
      </c>
      <c r="D590" s="1747"/>
      <c r="E590" s="1747"/>
      <c r="F590" s="1747"/>
      <c r="G590" s="1747"/>
      <c r="H590" s="1747"/>
      <c r="I590" s="1747"/>
      <c r="J590" s="599" t="s">
        <v>217</v>
      </c>
      <c r="K590" s="1115">
        <v>1.5</v>
      </c>
      <c r="L590" s="1283">
        <v>17.13</v>
      </c>
      <c r="M590" s="693">
        <f t="shared" si="21"/>
        <v>25.7</v>
      </c>
    </row>
    <row r="591" spans="1:16" x14ac:dyDescent="0.2">
      <c r="A591" s="629" t="s">
        <v>282</v>
      </c>
      <c r="B591" s="58" t="s">
        <v>525</v>
      </c>
      <c r="C591" s="1747" t="s">
        <v>374</v>
      </c>
      <c r="D591" s="1747"/>
      <c r="E591" s="1747"/>
      <c r="F591" s="1747"/>
      <c r="G591" s="1747"/>
      <c r="H591" s="1747"/>
      <c r="I591" s="1747"/>
      <c r="J591" s="599" t="s">
        <v>217</v>
      </c>
      <c r="K591" s="1115">
        <v>1.5</v>
      </c>
      <c r="L591" s="1283">
        <v>21.31</v>
      </c>
      <c r="M591" s="693">
        <f t="shared" si="21"/>
        <v>31.97</v>
      </c>
    </row>
    <row r="592" spans="1:16" x14ac:dyDescent="0.2">
      <c r="A592" s="292"/>
      <c r="B592" s="1131"/>
      <c r="C592" s="1730" t="s">
        <v>1171</v>
      </c>
      <c r="D592" s="1725"/>
      <c r="E592" s="1725"/>
      <c r="F592" s="1725"/>
      <c r="G592" s="1725"/>
      <c r="H592" s="1725"/>
      <c r="I592" s="1725"/>
      <c r="J592" s="1731"/>
      <c r="K592" s="669"/>
      <c r="L592" s="1159"/>
      <c r="M592" s="1154">
        <f>SUM(M580:M591)</f>
        <v>563.45000000000005</v>
      </c>
    </row>
    <row r="594" spans="1:20" x14ac:dyDescent="0.2">
      <c r="A594" s="664" t="s">
        <v>375</v>
      </c>
      <c r="B594" s="1730" t="s">
        <v>131</v>
      </c>
      <c r="C594" s="1725"/>
      <c r="D594" s="1725"/>
      <c r="E594" s="1725"/>
      <c r="F594" s="1725"/>
      <c r="G594" s="1725"/>
      <c r="H594" s="1725"/>
      <c r="I594" s="1725"/>
      <c r="J594" s="1725"/>
      <c r="K594" s="1725"/>
      <c r="L594" s="1726"/>
      <c r="M594" s="1143"/>
      <c r="Q594" s="38" t="s">
        <v>219</v>
      </c>
      <c r="R594" s="827" t="e">
        <f>SUM(#REF!)</f>
        <v>#REF!</v>
      </c>
    </row>
    <row r="595" spans="1:20" ht="50.25" customHeight="1" x14ac:dyDescent="0.2">
      <c r="A595" s="291" t="str">
        <f>ORÇ!A478</f>
        <v>20.2</v>
      </c>
      <c r="B595" s="623"/>
      <c r="C595" s="1727" t="s">
        <v>1399</v>
      </c>
      <c r="D595" s="1728"/>
      <c r="E595" s="1728"/>
      <c r="F595" s="1728"/>
      <c r="G595" s="1728"/>
      <c r="H595" s="1728"/>
      <c r="I595" s="1728"/>
      <c r="J595" s="1728"/>
      <c r="K595" s="1729"/>
      <c r="L595" s="1147" t="s">
        <v>1173</v>
      </c>
      <c r="M595" s="1169" t="s">
        <v>96</v>
      </c>
    </row>
    <row r="596" spans="1:20" x14ac:dyDescent="0.2">
      <c r="A596" s="1724" t="s">
        <v>1096</v>
      </c>
      <c r="B596" s="1725"/>
      <c r="C596" s="1725"/>
      <c r="D596" s="1725"/>
      <c r="E596" s="1725"/>
      <c r="F596" s="1725"/>
      <c r="G596" s="1725"/>
      <c r="H596" s="1725"/>
      <c r="I596" s="1725"/>
      <c r="J596" s="1725"/>
      <c r="K596" s="1725"/>
      <c r="L596" s="1725"/>
      <c r="M596" s="1726"/>
    </row>
    <row r="597" spans="1:20" x14ac:dyDescent="0.2">
      <c r="A597" s="666" t="s">
        <v>281</v>
      </c>
      <c r="B597" s="667" t="s">
        <v>92</v>
      </c>
      <c r="C597" s="1145"/>
      <c r="D597" s="1145"/>
      <c r="E597" s="1145"/>
      <c r="F597" s="1145" t="s">
        <v>93</v>
      </c>
      <c r="G597" s="1145"/>
      <c r="H597" s="1145"/>
      <c r="J597" s="667" t="s">
        <v>94</v>
      </c>
      <c r="K597" s="667" t="s">
        <v>35</v>
      </c>
      <c r="L597" s="1157" t="s">
        <v>95</v>
      </c>
      <c r="M597" s="1147" t="s">
        <v>86</v>
      </c>
    </row>
    <row r="598" spans="1:20" ht="34.5" customHeight="1" x14ac:dyDescent="0.2">
      <c r="A598" s="1134" t="s">
        <v>445</v>
      </c>
      <c r="B598" s="58">
        <v>40535</v>
      </c>
      <c r="C598" s="1727" t="s">
        <v>819</v>
      </c>
      <c r="D598" s="1728"/>
      <c r="E598" s="1728"/>
      <c r="F598" s="1728"/>
      <c r="G598" s="1728"/>
      <c r="H598" s="1728"/>
      <c r="I598" s="1729"/>
      <c r="J598" s="599" t="s">
        <v>73</v>
      </c>
      <c r="K598" s="1115">
        <f>Q600</f>
        <v>65.819999999999993</v>
      </c>
      <c r="L598" s="1183">
        <v>11.69</v>
      </c>
      <c r="M598" s="693">
        <f t="shared" ref="M598:M608" si="22">ROUND(K598*L598,2)</f>
        <v>769.44</v>
      </c>
    </row>
    <row r="599" spans="1:20" ht="34.5" customHeight="1" x14ac:dyDescent="0.2">
      <c r="A599" s="1134" t="s">
        <v>445</v>
      </c>
      <c r="B599" s="58">
        <v>3992</v>
      </c>
      <c r="C599" s="1721" t="s">
        <v>789</v>
      </c>
      <c r="D599" s="1722"/>
      <c r="E599" s="1722"/>
      <c r="F599" s="1722"/>
      <c r="G599" s="1722"/>
      <c r="H599" s="1722"/>
      <c r="I599" s="1723"/>
      <c r="J599" s="599" t="s">
        <v>17</v>
      </c>
      <c r="K599" s="1115">
        <f>(2.05+6.13)*19</f>
        <v>155.41999999999999</v>
      </c>
      <c r="L599" s="1183">
        <v>24.85</v>
      </c>
      <c r="M599" s="693">
        <f t="shared" si="22"/>
        <v>3862.19</v>
      </c>
      <c r="O599" s="38" t="s">
        <v>821</v>
      </c>
      <c r="P599" s="38" t="s">
        <v>209</v>
      </c>
      <c r="Q599" s="38" t="s">
        <v>219</v>
      </c>
    </row>
    <row r="600" spans="1:20" ht="34.5" customHeight="1" x14ac:dyDescent="0.2">
      <c r="A600" s="1134" t="s">
        <v>445</v>
      </c>
      <c r="B600" s="58">
        <v>39424</v>
      </c>
      <c r="C600" s="1727" t="s">
        <v>790</v>
      </c>
      <c r="D600" s="1728"/>
      <c r="E600" s="1728"/>
      <c r="F600" s="1728"/>
      <c r="G600" s="1728"/>
      <c r="H600" s="1728"/>
      <c r="I600" s="1729"/>
      <c r="J600" s="599" t="s">
        <v>17</v>
      </c>
      <c r="K600" s="1115">
        <f>K599</f>
        <v>155.41999999999999</v>
      </c>
      <c r="L600" s="1183">
        <v>4.2300000000000004</v>
      </c>
      <c r="M600" s="693">
        <f t="shared" si="22"/>
        <v>657.43</v>
      </c>
      <c r="O600" s="38">
        <f>(0.5*15)+6.26+2.05+6.13</f>
        <v>21.939999999999998</v>
      </c>
      <c r="P600" s="897">
        <v>3</v>
      </c>
      <c r="Q600">
        <f>P600*O600</f>
        <v>65.819999999999993</v>
      </c>
    </row>
    <row r="601" spans="1:20" ht="34.5" customHeight="1" x14ac:dyDescent="0.2">
      <c r="A601" s="1134" t="s">
        <v>445</v>
      </c>
      <c r="B601" s="58" t="s">
        <v>786</v>
      </c>
      <c r="C601" s="1721" t="s">
        <v>787</v>
      </c>
      <c r="D601" s="1722"/>
      <c r="E601" s="1722"/>
      <c r="F601" s="1722"/>
      <c r="G601" s="1722"/>
      <c r="H601" s="1722"/>
      <c r="I601" s="1723"/>
      <c r="J601" s="599" t="s">
        <v>73</v>
      </c>
      <c r="K601" s="1115">
        <f>Q603</f>
        <v>37.050000000000004</v>
      </c>
      <c r="L601" s="1183">
        <v>9.42</v>
      </c>
      <c r="M601" s="693">
        <f t="shared" si="22"/>
        <v>349.01</v>
      </c>
      <c r="O601" s="38"/>
    </row>
    <row r="602" spans="1:20" ht="40.5" customHeight="1" x14ac:dyDescent="0.2">
      <c r="A602" s="1134" t="s">
        <v>282</v>
      </c>
      <c r="B602" s="58">
        <v>90283</v>
      </c>
      <c r="C602" s="1721" t="s">
        <v>680</v>
      </c>
      <c r="D602" s="1722"/>
      <c r="E602" s="1722"/>
      <c r="F602" s="1722"/>
      <c r="G602" s="1722"/>
      <c r="H602" s="1722"/>
      <c r="I602" s="1723"/>
      <c r="J602" s="599" t="s">
        <v>2</v>
      </c>
      <c r="K602" s="1141">
        <f>30*(0.15*0.45*0.15)</f>
        <v>0.30375000000000002</v>
      </c>
      <c r="L602" s="1183">
        <v>623.27</v>
      </c>
      <c r="M602" s="693">
        <f t="shared" si="22"/>
        <v>189.32</v>
      </c>
      <c r="O602" s="38" t="s">
        <v>822</v>
      </c>
      <c r="P602" s="38" t="s">
        <v>788</v>
      </c>
      <c r="Q602" s="38" t="s">
        <v>219</v>
      </c>
    </row>
    <row r="603" spans="1:20" x14ac:dyDescent="0.2">
      <c r="A603" s="295" t="s">
        <v>445</v>
      </c>
      <c r="B603" s="692">
        <v>11975</v>
      </c>
      <c r="C603" s="1721" t="s">
        <v>820</v>
      </c>
      <c r="D603" s="1722"/>
      <c r="E603" s="1722"/>
      <c r="F603" s="1722"/>
      <c r="G603" s="1722"/>
      <c r="H603" s="1722"/>
      <c r="I603" s="1723"/>
      <c r="J603" s="401" t="s">
        <v>96</v>
      </c>
      <c r="K603" s="402">
        <v>30</v>
      </c>
      <c r="L603" s="1183">
        <v>25.41</v>
      </c>
      <c r="M603" s="693">
        <f t="shared" si="22"/>
        <v>762.3</v>
      </c>
      <c r="O603">
        <f>(0.13*0.25)*30</f>
        <v>0.97500000000000009</v>
      </c>
      <c r="P603">
        <v>38</v>
      </c>
      <c r="Q603">
        <f>P603*O603</f>
        <v>37.050000000000004</v>
      </c>
    </row>
    <row r="604" spans="1:20" ht="23.25" customHeight="1" x14ac:dyDescent="0.2">
      <c r="A604" s="1194" t="s">
        <v>282</v>
      </c>
      <c r="B604" s="692" t="s">
        <v>1204</v>
      </c>
      <c r="C604" s="1721" t="s">
        <v>1205</v>
      </c>
      <c r="D604" s="1722"/>
      <c r="E604" s="1722"/>
      <c r="F604" s="1722"/>
      <c r="G604" s="1722"/>
      <c r="H604" s="1722"/>
      <c r="I604" s="1723"/>
      <c r="J604" s="725" t="s">
        <v>6</v>
      </c>
      <c r="K604" s="726">
        <f>(K599*0.3)*2</f>
        <v>93.251999999999995</v>
      </c>
      <c r="L604" s="1183">
        <v>18.28</v>
      </c>
      <c r="M604" s="693">
        <f t="shared" si="22"/>
        <v>1704.65</v>
      </c>
      <c r="O604" s="38"/>
      <c r="R604" s="827"/>
      <c r="S604" s="827"/>
    </row>
    <row r="605" spans="1:20" ht="43.5" customHeight="1" x14ac:dyDescent="0.2">
      <c r="A605" s="1132" t="s">
        <v>282</v>
      </c>
      <c r="B605" s="692">
        <v>100722</v>
      </c>
      <c r="C605" s="1721" t="s">
        <v>818</v>
      </c>
      <c r="D605" s="1722"/>
      <c r="E605" s="1722"/>
      <c r="F605" s="1722"/>
      <c r="G605" s="1722"/>
      <c r="H605" s="1722"/>
      <c r="I605" s="1723"/>
      <c r="J605" s="725" t="s">
        <v>6</v>
      </c>
      <c r="K605" s="726">
        <f>Q607</f>
        <v>3.2909999999999995</v>
      </c>
      <c r="L605" s="1183">
        <v>18.649999999999999</v>
      </c>
      <c r="M605" s="693">
        <f t="shared" si="22"/>
        <v>61.38</v>
      </c>
      <c r="P605" s="38"/>
      <c r="Q605" s="38"/>
      <c r="R605" s="890"/>
      <c r="S605" s="890"/>
      <c r="T605" s="38"/>
    </row>
    <row r="606" spans="1:20" ht="34.5" customHeight="1" x14ac:dyDescent="0.2">
      <c r="A606" s="1132" t="s">
        <v>282</v>
      </c>
      <c r="B606" s="692">
        <v>102213</v>
      </c>
      <c r="C606" s="1721" t="s">
        <v>681</v>
      </c>
      <c r="D606" s="1722"/>
      <c r="E606" s="1722"/>
      <c r="F606" s="1722"/>
      <c r="G606" s="1722"/>
      <c r="H606" s="1722"/>
      <c r="I606" s="1723"/>
      <c r="J606" s="725" t="s">
        <v>6</v>
      </c>
      <c r="K606" s="726">
        <f>K599*0.3*2</f>
        <v>93.251999999999995</v>
      </c>
      <c r="L606" s="1183">
        <v>16.3</v>
      </c>
      <c r="M606" s="693">
        <f t="shared" si="22"/>
        <v>1520.01</v>
      </c>
      <c r="O606" s="38" t="s">
        <v>823</v>
      </c>
      <c r="P606" s="38" t="s">
        <v>821</v>
      </c>
      <c r="Q606" s="38" t="s">
        <v>219</v>
      </c>
      <c r="R606" s="827"/>
    </row>
    <row r="607" spans="1:20" x14ac:dyDescent="0.2">
      <c r="A607" s="1280" t="s">
        <v>282</v>
      </c>
      <c r="B607" s="692">
        <v>88251</v>
      </c>
      <c r="C607" s="1732" t="s">
        <v>679</v>
      </c>
      <c r="D607" s="1733"/>
      <c r="E607" s="1733"/>
      <c r="F607" s="1733"/>
      <c r="G607" s="1733"/>
      <c r="H607" s="1733"/>
      <c r="I607" s="1734"/>
      <c r="J607" s="725" t="s">
        <v>217</v>
      </c>
      <c r="K607" s="1115">
        <v>120</v>
      </c>
      <c r="L607" s="1183">
        <v>17.5</v>
      </c>
      <c r="M607" s="693">
        <f t="shared" si="22"/>
        <v>2100</v>
      </c>
      <c r="O607" s="38">
        <f>(0.075*2)</f>
        <v>0.15</v>
      </c>
      <c r="P607">
        <f>O600</f>
        <v>21.939999999999998</v>
      </c>
      <c r="Q607">
        <f>P607*O607</f>
        <v>3.2909999999999995</v>
      </c>
    </row>
    <row r="608" spans="1:20" ht="33" customHeight="1" x14ac:dyDescent="0.2">
      <c r="A608" s="1132" t="s">
        <v>282</v>
      </c>
      <c r="B608" s="692">
        <v>88278</v>
      </c>
      <c r="C608" s="1721" t="s">
        <v>1168</v>
      </c>
      <c r="D608" s="1722"/>
      <c r="E608" s="1722"/>
      <c r="F608" s="1722"/>
      <c r="G608" s="1722"/>
      <c r="H608" s="1722"/>
      <c r="I608" s="1723"/>
      <c r="J608" s="599" t="s">
        <v>217</v>
      </c>
      <c r="K608" s="1115">
        <f>K607</f>
        <v>120</v>
      </c>
      <c r="L608" s="1183">
        <v>17.73</v>
      </c>
      <c r="M608" s="693">
        <f t="shared" si="22"/>
        <v>2127.6</v>
      </c>
      <c r="P608" s="38"/>
      <c r="Q608" s="38"/>
      <c r="R608" s="890"/>
    </row>
    <row r="609" spans="1:18" x14ac:dyDescent="0.2">
      <c r="A609" s="292"/>
      <c r="B609" s="1131"/>
      <c r="C609" s="1730" t="s">
        <v>1171</v>
      </c>
      <c r="D609" s="1725"/>
      <c r="E609" s="1725"/>
      <c r="F609" s="1725"/>
      <c r="G609" s="1725"/>
      <c r="H609" s="1725"/>
      <c r="I609" s="1725"/>
      <c r="J609" s="1731"/>
      <c r="K609" s="669"/>
      <c r="L609" s="1159"/>
      <c r="M609" s="1154">
        <f>SUM(M598:M608)</f>
        <v>14103.33</v>
      </c>
      <c r="O609" s="890">
        <f>15*8</f>
        <v>120</v>
      </c>
      <c r="R609" s="827"/>
    </row>
    <row r="610" spans="1:18" x14ac:dyDescent="0.2">
      <c r="O610" s="890"/>
      <c r="R610" s="827"/>
    </row>
    <row r="611" spans="1:18" x14ac:dyDescent="0.2">
      <c r="A611" s="664" t="s">
        <v>375</v>
      </c>
      <c r="B611" s="1730" t="s">
        <v>131</v>
      </c>
      <c r="C611" s="1725"/>
      <c r="D611" s="1725"/>
      <c r="E611" s="1725"/>
      <c r="F611" s="1725"/>
      <c r="G611" s="1725"/>
      <c r="H611" s="1725"/>
      <c r="I611" s="1725"/>
      <c r="J611" s="1725"/>
      <c r="K611" s="1725"/>
      <c r="L611" s="1726"/>
      <c r="M611" s="1143"/>
    </row>
    <row r="612" spans="1:18" ht="48" customHeight="1" x14ac:dyDescent="0.2">
      <c r="A612" s="291" t="e">
        <f>ORÇ!#REF!</f>
        <v>#REF!</v>
      </c>
      <c r="B612" s="623"/>
      <c r="C612" s="1727" t="s">
        <v>824</v>
      </c>
      <c r="D612" s="1728"/>
      <c r="E612" s="1728"/>
      <c r="F612" s="1728"/>
      <c r="G612" s="1728"/>
      <c r="H612" s="1728"/>
      <c r="I612" s="1728"/>
      <c r="J612" s="1728"/>
      <c r="K612" s="1729"/>
      <c r="L612" s="1147" t="s">
        <v>1173</v>
      </c>
      <c r="M612" s="1169" t="s">
        <v>96</v>
      </c>
    </row>
    <row r="613" spans="1:18" x14ac:dyDescent="0.2">
      <c r="A613" s="1724" t="s">
        <v>1097</v>
      </c>
      <c r="B613" s="1725"/>
      <c r="C613" s="1725"/>
      <c r="D613" s="1725"/>
      <c r="E613" s="1725"/>
      <c r="F613" s="1725"/>
      <c r="G613" s="1725"/>
      <c r="H613" s="1725"/>
      <c r="I613" s="1725"/>
      <c r="J613" s="1725"/>
      <c r="K613" s="1725"/>
      <c r="L613" s="1725"/>
      <c r="M613" s="1726"/>
    </row>
    <row r="614" spans="1:18" x14ac:dyDescent="0.2">
      <c r="A614" s="666" t="s">
        <v>281</v>
      </c>
      <c r="B614" s="667" t="s">
        <v>92</v>
      </c>
      <c r="C614" s="1145"/>
      <c r="D614" s="1145"/>
      <c r="E614" s="1145"/>
      <c r="F614" s="1145" t="s">
        <v>93</v>
      </c>
      <c r="G614" s="1145"/>
      <c r="H614" s="1145"/>
      <c r="J614" s="667" t="s">
        <v>94</v>
      </c>
      <c r="K614" s="667" t="s">
        <v>35</v>
      </c>
      <c r="L614" s="1157" t="s">
        <v>95</v>
      </c>
      <c r="M614" s="1147" t="s">
        <v>86</v>
      </c>
    </row>
    <row r="615" spans="1:18" ht="40.5" customHeight="1" x14ac:dyDescent="0.2">
      <c r="A615" s="1134" t="s">
        <v>445</v>
      </c>
      <c r="B615" s="58">
        <v>39718</v>
      </c>
      <c r="C615" s="1721" t="s">
        <v>796</v>
      </c>
      <c r="D615" s="1722"/>
      <c r="E615" s="1722"/>
      <c r="F615" s="1722"/>
      <c r="G615" s="1722"/>
      <c r="H615" s="1722"/>
      <c r="I615" s="1723"/>
      <c r="J615" s="599" t="s">
        <v>214</v>
      </c>
      <c r="K615" s="599">
        <v>1</v>
      </c>
      <c r="L615" s="1183">
        <v>3.41</v>
      </c>
      <c r="M615" s="693">
        <f t="shared" ref="M615:M617" si="23">ROUND(K615*L615,2)</f>
        <v>3.41</v>
      </c>
    </row>
    <row r="616" spans="1:18" x14ac:dyDescent="0.2">
      <c r="A616" s="1134" t="s">
        <v>282</v>
      </c>
      <c r="B616" s="58">
        <v>88264</v>
      </c>
      <c r="C616" s="1721" t="s">
        <v>222</v>
      </c>
      <c r="D616" s="1722"/>
      <c r="E616" s="1722"/>
      <c r="F616" s="1722"/>
      <c r="G616" s="1722"/>
      <c r="H616" s="1722"/>
      <c r="I616" s="1723"/>
      <c r="J616" s="599" t="s">
        <v>217</v>
      </c>
      <c r="K616" s="599">
        <v>0.36449999999999999</v>
      </c>
      <c r="L616" s="1183">
        <v>21.52</v>
      </c>
      <c r="M616" s="693">
        <f t="shared" si="23"/>
        <v>7.84</v>
      </c>
    </row>
    <row r="617" spans="1:18" x14ac:dyDescent="0.2">
      <c r="A617" s="295" t="s">
        <v>282</v>
      </c>
      <c r="B617" s="692">
        <v>88247</v>
      </c>
      <c r="C617" s="1721" t="s">
        <v>221</v>
      </c>
      <c r="D617" s="1722"/>
      <c r="E617" s="1722"/>
      <c r="F617" s="1722"/>
      <c r="G617" s="1722"/>
      <c r="H617" s="1722"/>
      <c r="I617" s="1723"/>
      <c r="J617" s="401" t="s">
        <v>217</v>
      </c>
      <c r="K617" s="402">
        <v>0.15190000000000001</v>
      </c>
      <c r="L617" s="1183">
        <v>17.75</v>
      </c>
      <c r="M617" s="693">
        <f t="shared" si="23"/>
        <v>2.7</v>
      </c>
    </row>
    <row r="618" spans="1:18" x14ac:dyDescent="0.2">
      <c r="A618" s="292"/>
      <c r="B618" s="1131"/>
      <c r="C618" s="1730" t="s">
        <v>1171</v>
      </c>
      <c r="D618" s="1725"/>
      <c r="E618" s="1725"/>
      <c r="F618" s="1725"/>
      <c r="G618" s="1725"/>
      <c r="H618" s="1725"/>
      <c r="I618" s="1725"/>
      <c r="J618" s="1731"/>
      <c r="K618" s="669"/>
      <c r="L618" s="1159"/>
      <c r="M618" s="1154">
        <f>SUM(M615:M617)</f>
        <v>13.95</v>
      </c>
    </row>
    <row r="620" spans="1:18" x14ac:dyDescent="0.2">
      <c r="A620" s="664" t="s">
        <v>375</v>
      </c>
      <c r="B620" s="1730" t="s">
        <v>131</v>
      </c>
      <c r="C620" s="1725"/>
      <c r="D620" s="1725"/>
      <c r="E620" s="1725"/>
      <c r="F620" s="1725"/>
      <c r="G620" s="1725"/>
      <c r="H620" s="1725"/>
      <c r="I620" s="1725"/>
      <c r="J620" s="1725"/>
      <c r="K620" s="1725"/>
      <c r="L620" s="1726"/>
      <c r="M620" s="1143"/>
    </row>
    <row r="621" spans="1:18" ht="35.25" customHeight="1" x14ac:dyDescent="0.2">
      <c r="A621" s="291" t="str">
        <f>ORÇ!A308</f>
        <v>13.1.7</v>
      </c>
      <c r="B621" s="623"/>
      <c r="C621" s="1727" t="s">
        <v>825</v>
      </c>
      <c r="D621" s="1728"/>
      <c r="E621" s="1728"/>
      <c r="F621" s="1728"/>
      <c r="G621" s="1728"/>
      <c r="H621" s="1728"/>
      <c r="I621" s="1728"/>
      <c r="J621" s="1728"/>
      <c r="K621" s="1729"/>
      <c r="L621" s="1147" t="s">
        <v>1173</v>
      </c>
      <c r="M621" s="1169" t="s">
        <v>17</v>
      </c>
    </row>
    <row r="622" spans="1:18" x14ac:dyDescent="0.2">
      <c r="A622" s="1724" t="s">
        <v>1098</v>
      </c>
      <c r="B622" s="1725"/>
      <c r="C622" s="1725"/>
      <c r="D622" s="1725"/>
      <c r="E622" s="1725"/>
      <c r="F622" s="1725"/>
      <c r="G622" s="1725"/>
      <c r="H622" s="1725"/>
      <c r="I622" s="1725"/>
      <c r="J622" s="1725"/>
      <c r="K622" s="1725"/>
      <c r="L622" s="1725"/>
      <c r="M622" s="1726"/>
    </row>
    <row r="623" spans="1:18" x14ac:dyDescent="0.2">
      <c r="A623" s="666" t="s">
        <v>281</v>
      </c>
      <c r="B623" s="667" t="s">
        <v>92</v>
      </c>
      <c r="C623" s="1145"/>
      <c r="D623" s="1145"/>
      <c r="E623" s="1145"/>
      <c r="F623" s="1145" t="s">
        <v>93</v>
      </c>
      <c r="G623" s="1145"/>
      <c r="H623" s="1145"/>
      <c r="J623" s="667" t="s">
        <v>94</v>
      </c>
      <c r="K623" s="667" t="s">
        <v>35</v>
      </c>
      <c r="L623" s="1157" t="s">
        <v>95</v>
      </c>
      <c r="M623" s="1147" t="s">
        <v>86</v>
      </c>
    </row>
    <row r="624" spans="1:18" ht="52.5" customHeight="1" x14ac:dyDescent="0.2">
      <c r="A624" s="1134" t="s">
        <v>445</v>
      </c>
      <c r="B624" s="58">
        <v>39715</v>
      </c>
      <c r="C624" s="1721" t="s">
        <v>797</v>
      </c>
      <c r="D624" s="1722"/>
      <c r="E624" s="1722"/>
      <c r="F624" s="1722"/>
      <c r="G624" s="1722"/>
      <c r="H624" s="1722"/>
      <c r="I624" s="1723"/>
      <c r="J624" s="599" t="s">
        <v>17</v>
      </c>
      <c r="K624" s="599">
        <v>1</v>
      </c>
      <c r="L624" s="1183">
        <v>2.64</v>
      </c>
      <c r="M624" s="693">
        <f t="shared" ref="M624:M626" si="24">ROUND(K624*L624,2)</f>
        <v>2.64</v>
      </c>
    </row>
    <row r="625" spans="1:13" x14ac:dyDescent="0.2">
      <c r="A625" s="1134" t="s">
        <v>282</v>
      </c>
      <c r="B625" s="58">
        <v>88264</v>
      </c>
      <c r="C625" s="1721" t="s">
        <v>222</v>
      </c>
      <c r="D625" s="1722"/>
      <c r="E625" s="1722"/>
      <c r="F625" s="1722"/>
      <c r="G625" s="1722"/>
      <c r="H625" s="1722"/>
      <c r="I625" s="1723"/>
      <c r="J625" s="599" t="s">
        <v>98</v>
      </c>
      <c r="K625" s="599">
        <v>0.36449999999999999</v>
      </c>
      <c r="L625" s="1183">
        <v>21.52</v>
      </c>
      <c r="M625" s="693">
        <f t="shared" si="24"/>
        <v>7.84</v>
      </c>
    </row>
    <row r="626" spans="1:13" x14ac:dyDescent="0.2">
      <c r="A626" s="295" t="s">
        <v>282</v>
      </c>
      <c r="B626" s="692">
        <v>88247</v>
      </c>
      <c r="C626" s="1721" t="s">
        <v>221</v>
      </c>
      <c r="D626" s="1722"/>
      <c r="E626" s="1722"/>
      <c r="F626" s="1722"/>
      <c r="G626" s="1722"/>
      <c r="H626" s="1722"/>
      <c r="I626" s="1723"/>
      <c r="J626" s="401" t="s">
        <v>98</v>
      </c>
      <c r="K626" s="402">
        <v>0.15190000000000001</v>
      </c>
      <c r="L626" s="1183">
        <v>17.75</v>
      </c>
      <c r="M626" s="693">
        <f t="shared" si="24"/>
        <v>2.7</v>
      </c>
    </row>
    <row r="627" spans="1:13" x14ac:dyDescent="0.2">
      <c r="A627" s="292"/>
      <c r="B627" s="1131"/>
      <c r="C627" s="1730" t="s">
        <v>1171</v>
      </c>
      <c r="D627" s="1725"/>
      <c r="E627" s="1725"/>
      <c r="F627" s="1725"/>
      <c r="G627" s="1725"/>
      <c r="H627" s="1725"/>
      <c r="I627" s="1725"/>
      <c r="J627" s="1731"/>
      <c r="K627" s="669"/>
      <c r="L627" s="1159"/>
      <c r="M627" s="1154">
        <f>SUM(M624:M626)</f>
        <v>13.18</v>
      </c>
    </row>
    <row r="629" spans="1:13" x14ac:dyDescent="0.2">
      <c r="A629" s="664" t="s">
        <v>375</v>
      </c>
      <c r="B629" s="1730" t="s">
        <v>131</v>
      </c>
      <c r="C629" s="1725"/>
      <c r="D629" s="1725"/>
      <c r="E629" s="1725"/>
      <c r="F629" s="1725"/>
      <c r="G629" s="1725"/>
      <c r="H629" s="1725"/>
      <c r="I629" s="1725"/>
      <c r="J629" s="1725"/>
      <c r="K629" s="1725"/>
      <c r="L629" s="1726"/>
      <c r="M629" s="1143"/>
    </row>
    <row r="630" spans="1:13" ht="36.75" customHeight="1" x14ac:dyDescent="0.2">
      <c r="A630" s="291" t="str">
        <f>ORÇ!A309</f>
        <v>13.1.8</v>
      </c>
      <c r="B630" s="623"/>
      <c r="C630" s="1727" t="s">
        <v>826</v>
      </c>
      <c r="D630" s="1728"/>
      <c r="E630" s="1728"/>
      <c r="F630" s="1728"/>
      <c r="G630" s="1728"/>
      <c r="H630" s="1728"/>
      <c r="I630" s="1728"/>
      <c r="J630" s="1728"/>
      <c r="K630" s="1729"/>
      <c r="L630" s="1147" t="s">
        <v>1173</v>
      </c>
      <c r="M630" s="1169" t="s">
        <v>17</v>
      </c>
    </row>
    <row r="631" spans="1:13" x14ac:dyDescent="0.2">
      <c r="A631" s="1724" t="s">
        <v>1099</v>
      </c>
      <c r="B631" s="1725"/>
      <c r="C631" s="1725"/>
      <c r="D631" s="1725"/>
      <c r="E631" s="1725"/>
      <c r="F631" s="1725"/>
      <c r="G631" s="1725"/>
      <c r="H631" s="1725"/>
      <c r="I631" s="1725"/>
      <c r="J631" s="1725"/>
      <c r="K631" s="1725"/>
      <c r="L631" s="1725"/>
      <c r="M631" s="1726"/>
    </row>
    <row r="632" spans="1:13" x14ac:dyDescent="0.2">
      <c r="A632" s="666" t="s">
        <v>281</v>
      </c>
      <c r="B632" s="667" t="s">
        <v>92</v>
      </c>
      <c r="C632" s="1145"/>
      <c r="D632" s="1145"/>
      <c r="E632" s="1145"/>
      <c r="F632" s="1145" t="s">
        <v>93</v>
      </c>
      <c r="G632" s="1145"/>
      <c r="H632" s="1145"/>
      <c r="J632" s="667" t="s">
        <v>94</v>
      </c>
      <c r="K632" s="667" t="s">
        <v>35</v>
      </c>
      <c r="L632" s="1157" t="s">
        <v>95</v>
      </c>
      <c r="M632" s="1147" t="s">
        <v>86</v>
      </c>
    </row>
    <row r="633" spans="1:13" ht="42" customHeight="1" x14ac:dyDescent="0.2">
      <c r="A633" s="1134" t="s">
        <v>445</v>
      </c>
      <c r="B633" s="58">
        <v>39711</v>
      </c>
      <c r="C633" s="1721" t="s">
        <v>798</v>
      </c>
      <c r="D633" s="1722"/>
      <c r="E633" s="1722"/>
      <c r="F633" s="1722"/>
      <c r="G633" s="1722"/>
      <c r="H633" s="1722"/>
      <c r="I633" s="1723"/>
      <c r="J633" s="599" t="s">
        <v>214</v>
      </c>
      <c r="K633" s="599">
        <v>1</v>
      </c>
      <c r="L633" s="1183">
        <v>5.85</v>
      </c>
      <c r="M633" s="693">
        <f t="shared" ref="M633:M635" si="25">ROUND(K633*L633,2)</f>
        <v>5.85</v>
      </c>
    </row>
    <row r="634" spans="1:13" x14ac:dyDescent="0.2">
      <c r="A634" s="1134" t="s">
        <v>282</v>
      </c>
      <c r="B634" s="58">
        <v>88264</v>
      </c>
      <c r="C634" s="1721" t="s">
        <v>222</v>
      </c>
      <c r="D634" s="1722"/>
      <c r="E634" s="1722"/>
      <c r="F634" s="1722"/>
      <c r="G634" s="1722"/>
      <c r="H634" s="1722"/>
      <c r="I634" s="1723"/>
      <c r="J634" s="599" t="s">
        <v>217</v>
      </c>
      <c r="K634" s="599">
        <v>0.36449999999999999</v>
      </c>
      <c r="L634" s="1183">
        <v>21.52</v>
      </c>
      <c r="M634" s="693">
        <f t="shared" si="25"/>
        <v>7.84</v>
      </c>
    </row>
    <row r="635" spans="1:13" x14ac:dyDescent="0.2">
      <c r="A635" s="295" t="s">
        <v>282</v>
      </c>
      <c r="B635" s="692">
        <v>88247</v>
      </c>
      <c r="C635" s="1721" t="s">
        <v>221</v>
      </c>
      <c r="D635" s="1722"/>
      <c r="E635" s="1722"/>
      <c r="F635" s="1722"/>
      <c r="G635" s="1722"/>
      <c r="H635" s="1722"/>
      <c r="I635" s="1723"/>
      <c r="J635" s="401" t="s">
        <v>217</v>
      </c>
      <c r="K635" s="402">
        <v>0.15190000000000001</v>
      </c>
      <c r="L635" s="1183">
        <v>17.75</v>
      </c>
      <c r="M635" s="693">
        <f t="shared" si="25"/>
        <v>2.7</v>
      </c>
    </row>
    <row r="636" spans="1:13" x14ac:dyDescent="0.2">
      <c r="A636" s="292"/>
      <c r="B636" s="1131"/>
      <c r="C636" s="1730" t="s">
        <v>1171</v>
      </c>
      <c r="D636" s="1725"/>
      <c r="E636" s="1725"/>
      <c r="F636" s="1725"/>
      <c r="G636" s="1725"/>
      <c r="H636" s="1725"/>
      <c r="I636" s="1725"/>
      <c r="J636" s="1731"/>
      <c r="K636" s="669"/>
      <c r="L636" s="1159"/>
      <c r="M636" s="1154">
        <f>SUM(M633:M635)</f>
        <v>16.39</v>
      </c>
    </row>
    <row r="638" spans="1:13" x14ac:dyDescent="0.2">
      <c r="A638" s="664" t="s">
        <v>375</v>
      </c>
      <c r="B638" s="1730" t="s">
        <v>131</v>
      </c>
      <c r="C638" s="1725"/>
      <c r="D638" s="1725"/>
      <c r="E638" s="1725"/>
      <c r="F638" s="1725"/>
      <c r="G638" s="1725"/>
      <c r="H638" s="1725"/>
      <c r="I638" s="1725"/>
      <c r="J638" s="1725"/>
      <c r="K638" s="1725"/>
      <c r="L638" s="1726"/>
      <c r="M638" s="1143"/>
    </row>
    <row r="639" spans="1:13" ht="37.5" customHeight="1" x14ac:dyDescent="0.2">
      <c r="A639" s="291" t="str">
        <f>ORÇ!A310</f>
        <v>13.1.9</v>
      </c>
      <c r="B639" s="623"/>
      <c r="C639" s="1727" t="s">
        <v>827</v>
      </c>
      <c r="D639" s="1728"/>
      <c r="E639" s="1728"/>
      <c r="F639" s="1728"/>
      <c r="G639" s="1728"/>
      <c r="H639" s="1728"/>
      <c r="I639" s="1728"/>
      <c r="J639" s="1728"/>
      <c r="K639" s="1728"/>
      <c r="L639" s="1147" t="s">
        <v>1173</v>
      </c>
      <c r="M639" s="1169" t="s">
        <v>17</v>
      </c>
    </row>
    <row r="640" spans="1:13" x14ac:dyDescent="0.2">
      <c r="A640" s="1724" t="s">
        <v>1100</v>
      </c>
      <c r="B640" s="1725"/>
      <c r="C640" s="1725"/>
      <c r="D640" s="1725"/>
      <c r="E640" s="1725"/>
      <c r="F640" s="1725"/>
      <c r="G640" s="1725"/>
      <c r="H640" s="1725"/>
      <c r="I640" s="1725"/>
      <c r="J640" s="1725"/>
      <c r="K640" s="1725"/>
      <c r="L640" s="1725"/>
      <c r="M640" s="1726"/>
    </row>
    <row r="641" spans="1:13" x14ac:dyDescent="0.2">
      <c r="A641" s="666" t="s">
        <v>281</v>
      </c>
      <c r="B641" s="667" t="s">
        <v>92</v>
      </c>
      <c r="C641" s="1145"/>
      <c r="D641" s="1145"/>
      <c r="E641" s="1145"/>
      <c r="F641" s="1145" t="s">
        <v>93</v>
      </c>
      <c r="G641" s="1145"/>
      <c r="H641" s="1145"/>
      <c r="J641" s="667" t="s">
        <v>94</v>
      </c>
      <c r="K641" s="667" t="s">
        <v>35</v>
      </c>
      <c r="L641" s="1157" t="s">
        <v>95</v>
      </c>
      <c r="M641" s="1147" t="s">
        <v>86</v>
      </c>
    </row>
    <row r="642" spans="1:13" ht="43.5" customHeight="1" x14ac:dyDescent="0.2">
      <c r="A642" s="1134" t="s">
        <v>445</v>
      </c>
      <c r="B642" s="58">
        <v>39712</v>
      </c>
      <c r="C642" s="1721" t="s">
        <v>799</v>
      </c>
      <c r="D642" s="1722"/>
      <c r="E642" s="1722"/>
      <c r="F642" s="1722"/>
      <c r="G642" s="1722"/>
      <c r="H642" s="1722"/>
      <c r="I642" s="1723"/>
      <c r="J642" s="599" t="s">
        <v>214</v>
      </c>
      <c r="K642" s="599">
        <v>1</v>
      </c>
      <c r="L642" s="1183">
        <v>2.0499999999999998</v>
      </c>
      <c r="M642" s="693">
        <f t="shared" ref="M642:M644" si="26">ROUND(K642*L642,2)</f>
        <v>2.0499999999999998</v>
      </c>
    </row>
    <row r="643" spans="1:13" x14ac:dyDescent="0.2">
      <c r="A643" s="1134" t="s">
        <v>282</v>
      </c>
      <c r="B643" s="58">
        <v>88264</v>
      </c>
      <c r="C643" s="1721" t="s">
        <v>222</v>
      </c>
      <c r="D643" s="1722"/>
      <c r="E643" s="1722"/>
      <c r="F643" s="1722"/>
      <c r="G643" s="1722"/>
      <c r="H643" s="1722"/>
      <c r="I643" s="1723"/>
      <c r="J643" s="599" t="s">
        <v>217</v>
      </c>
      <c r="K643" s="599">
        <v>0.36449999999999999</v>
      </c>
      <c r="L643" s="1183">
        <v>21.52</v>
      </c>
      <c r="M643" s="693">
        <f t="shared" si="26"/>
        <v>7.84</v>
      </c>
    </row>
    <row r="644" spans="1:13" x14ac:dyDescent="0.2">
      <c r="A644" s="295" t="s">
        <v>282</v>
      </c>
      <c r="B644" s="692">
        <v>88247</v>
      </c>
      <c r="C644" s="1721" t="s">
        <v>221</v>
      </c>
      <c r="D644" s="1722"/>
      <c r="E644" s="1722"/>
      <c r="F644" s="1722"/>
      <c r="G644" s="1722"/>
      <c r="H644" s="1722"/>
      <c r="I644" s="1723"/>
      <c r="J644" s="401" t="s">
        <v>217</v>
      </c>
      <c r="K644" s="402">
        <v>0.15190000000000001</v>
      </c>
      <c r="L644" s="1183">
        <v>17.75</v>
      </c>
      <c r="M644" s="693">
        <f t="shared" si="26"/>
        <v>2.7</v>
      </c>
    </row>
    <row r="645" spans="1:13" x14ac:dyDescent="0.2">
      <c r="A645" s="292"/>
      <c r="B645" s="1131"/>
      <c r="C645" s="1730" t="s">
        <v>1171</v>
      </c>
      <c r="D645" s="1725"/>
      <c r="E645" s="1725"/>
      <c r="F645" s="1725"/>
      <c r="G645" s="1725"/>
      <c r="H645" s="1725"/>
      <c r="I645" s="1725"/>
      <c r="J645" s="1731"/>
      <c r="K645" s="669"/>
      <c r="L645" s="1159"/>
      <c r="M645" s="1154">
        <f>SUM(M642:M644)</f>
        <v>12.59</v>
      </c>
    </row>
    <row r="647" spans="1:13" x14ac:dyDescent="0.2">
      <c r="A647" s="664" t="s">
        <v>375</v>
      </c>
      <c r="B647" s="1730" t="s">
        <v>131</v>
      </c>
      <c r="C647" s="1725"/>
      <c r="D647" s="1725"/>
      <c r="E647" s="1725"/>
      <c r="F647" s="1725"/>
      <c r="G647" s="1725"/>
      <c r="H647" s="1725"/>
      <c r="I647" s="1725"/>
      <c r="J647" s="1725"/>
      <c r="K647" s="1725"/>
      <c r="L647" s="1726"/>
      <c r="M647" s="1143"/>
    </row>
    <row r="648" spans="1:13" ht="36.75" customHeight="1" x14ac:dyDescent="0.2">
      <c r="A648" s="291" t="str">
        <f>ORÇ!A311</f>
        <v>13.1.10</v>
      </c>
      <c r="B648" s="623"/>
      <c r="C648" s="1727" t="s">
        <v>828</v>
      </c>
      <c r="D648" s="1728"/>
      <c r="E648" s="1728"/>
      <c r="F648" s="1728"/>
      <c r="G648" s="1728"/>
      <c r="H648" s="1728"/>
      <c r="I648" s="1728"/>
      <c r="J648" s="1728"/>
      <c r="K648" s="1728"/>
      <c r="L648" s="4" t="s">
        <v>1173</v>
      </c>
      <c r="M648" s="1169" t="s">
        <v>17</v>
      </c>
    </row>
    <row r="649" spans="1:13" x14ac:dyDescent="0.2">
      <c r="A649" s="1724" t="s">
        <v>1101</v>
      </c>
      <c r="B649" s="1725"/>
      <c r="C649" s="1725"/>
      <c r="D649" s="1725"/>
      <c r="E649" s="1725"/>
      <c r="F649" s="1725"/>
      <c r="G649" s="1725"/>
      <c r="H649" s="1725"/>
      <c r="I649" s="1725"/>
      <c r="J649" s="1725"/>
      <c r="K649" s="1725"/>
      <c r="L649" s="1725"/>
      <c r="M649" s="1726"/>
    </row>
    <row r="650" spans="1:13" x14ac:dyDescent="0.2">
      <c r="A650" s="666" t="s">
        <v>281</v>
      </c>
      <c r="B650" s="667" t="s">
        <v>92</v>
      </c>
      <c r="C650" s="1145"/>
      <c r="D650" s="1145"/>
      <c r="E650" s="1145"/>
      <c r="F650" s="1145" t="s">
        <v>93</v>
      </c>
      <c r="G650" s="1145"/>
      <c r="H650" s="1145"/>
      <c r="J650" s="667" t="s">
        <v>94</v>
      </c>
      <c r="K650" s="667" t="s">
        <v>35</v>
      </c>
      <c r="L650" s="1157" t="s">
        <v>95</v>
      </c>
      <c r="M650" s="1147" t="s">
        <v>86</v>
      </c>
    </row>
    <row r="651" spans="1:13" ht="45.75" customHeight="1" x14ac:dyDescent="0.2">
      <c r="A651" s="1134" t="s">
        <v>445</v>
      </c>
      <c r="B651" s="58">
        <v>39716</v>
      </c>
      <c r="C651" s="1721" t="s">
        <v>801</v>
      </c>
      <c r="D651" s="1722"/>
      <c r="E651" s="1722"/>
      <c r="F651" s="1722"/>
      <c r="G651" s="1722"/>
      <c r="H651" s="1722"/>
      <c r="I651" s="1723"/>
      <c r="J651" s="599" t="s">
        <v>214</v>
      </c>
      <c r="K651" s="599">
        <v>1</v>
      </c>
      <c r="L651" s="1183">
        <v>2</v>
      </c>
      <c r="M651" s="693">
        <f t="shared" ref="M651:M653" si="27">ROUND(K651*L651,2)</f>
        <v>2</v>
      </c>
    </row>
    <row r="652" spans="1:13" x14ac:dyDescent="0.2">
      <c r="A652" s="1134" t="s">
        <v>282</v>
      </c>
      <c r="B652" s="58">
        <v>88264</v>
      </c>
      <c r="C652" s="1721" t="s">
        <v>222</v>
      </c>
      <c r="D652" s="1722"/>
      <c r="E652" s="1722"/>
      <c r="F652" s="1722"/>
      <c r="G652" s="1722"/>
      <c r="H652" s="1722"/>
      <c r="I652" s="1723"/>
      <c r="J652" s="599" t="s">
        <v>217</v>
      </c>
      <c r="K652" s="599">
        <v>0.36449999999999999</v>
      </c>
      <c r="L652" s="1183">
        <v>21.52</v>
      </c>
      <c r="M652" s="693">
        <f t="shared" si="27"/>
        <v>7.84</v>
      </c>
    </row>
    <row r="653" spans="1:13" x14ac:dyDescent="0.2">
      <c r="A653" s="295" t="s">
        <v>282</v>
      </c>
      <c r="B653" s="692">
        <v>88247</v>
      </c>
      <c r="C653" s="1721" t="s">
        <v>221</v>
      </c>
      <c r="D653" s="1722"/>
      <c r="E653" s="1722"/>
      <c r="F653" s="1722"/>
      <c r="G653" s="1722"/>
      <c r="H653" s="1722"/>
      <c r="I653" s="1723"/>
      <c r="J653" s="401" t="s">
        <v>217</v>
      </c>
      <c r="K653" s="402">
        <v>0.15190000000000001</v>
      </c>
      <c r="L653" s="1183">
        <v>17.75</v>
      </c>
      <c r="M653" s="693">
        <f t="shared" si="27"/>
        <v>2.7</v>
      </c>
    </row>
    <row r="654" spans="1:13" x14ac:dyDescent="0.2">
      <c r="A654" s="292"/>
      <c r="B654" s="1131"/>
      <c r="C654" s="1730" t="s">
        <v>1171</v>
      </c>
      <c r="D654" s="1725"/>
      <c r="E654" s="1725"/>
      <c r="F654" s="1725"/>
      <c r="G654" s="1725"/>
      <c r="H654" s="1725"/>
      <c r="I654" s="1725"/>
      <c r="J654" s="1731"/>
      <c r="K654" s="669"/>
      <c r="L654" s="1159"/>
      <c r="M654" s="1154">
        <f>SUM(M651:M653)</f>
        <v>12.54</v>
      </c>
    </row>
    <row r="656" spans="1:13" x14ac:dyDescent="0.2">
      <c r="A656" s="664" t="s">
        <v>375</v>
      </c>
      <c r="B656" s="1730" t="s">
        <v>131</v>
      </c>
      <c r="C656" s="1725"/>
      <c r="D656" s="1725"/>
      <c r="E656" s="1725"/>
      <c r="F656" s="1725"/>
      <c r="G656" s="1725"/>
      <c r="H656" s="1725"/>
      <c r="I656" s="1725"/>
      <c r="J656" s="1725"/>
      <c r="K656" s="1725"/>
      <c r="L656" s="1726"/>
      <c r="M656" s="1143"/>
    </row>
    <row r="657" spans="1:13" ht="39" customHeight="1" x14ac:dyDescent="0.2">
      <c r="A657" s="291" t="str">
        <f>ORÇ!A312</f>
        <v>13.1.11</v>
      </c>
      <c r="B657" s="623"/>
      <c r="C657" s="1727" t="s">
        <v>829</v>
      </c>
      <c r="D657" s="1728"/>
      <c r="E657" s="1728"/>
      <c r="F657" s="1728"/>
      <c r="G657" s="1728"/>
      <c r="H657" s="1728"/>
      <c r="I657" s="1728"/>
      <c r="J657" s="1728"/>
      <c r="K657" s="1728"/>
      <c r="L657" s="4" t="s">
        <v>1173</v>
      </c>
      <c r="M657" s="1169" t="s">
        <v>17</v>
      </c>
    </row>
    <row r="658" spans="1:13" x14ac:dyDescent="0.2">
      <c r="A658" s="1724" t="s">
        <v>1102</v>
      </c>
      <c r="B658" s="1725"/>
      <c r="C658" s="1725"/>
      <c r="D658" s="1725"/>
      <c r="E658" s="1725"/>
      <c r="F658" s="1725"/>
      <c r="G658" s="1725"/>
      <c r="H658" s="1725"/>
      <c r="I658" s="1725"/>
      <c r="J658" s="1725"/>
      <c r="K658" s="1725"/>
      <c r="L658" s="1725"/>
      <c r="M658" s="1726"/>
    </row>
    <row r="659" spans="1:13" x14ac:dyDescent="0.2">
      <c r="A659" s="666" t="s">
        <v>281</v>
      </c>
      <c r="B659" s="667" t="s">
        <v>92</v>
      </c>
      <c r="C659" s="1145"/>
      <c r="D659" s="1145"/>
      <c r="E659" s="1145"/>
      <c r="F659" s="1145" t="s">
        <v>93</v>
      </c>
      <c r="G659" s="1145"/>
      <c r="H659" s="1145"/>
      <c r="J659" s="667" t="s">
        <v>94</v>
      </c>
      <c r="K659" s="667" t="s">
        <v>35</v>
      </c>
      <c r="L659" s="1157" t="s">
        <v>95</v>
      </c>
      <c r="M659" s="1158"/>
    </row>
    <row r="660" spans="1:13" ht="45" customHeight="1" x14ac:dyDescent="0.2">
      <c r="A660" s="1134" t="s">
        <v>445</v>
      </c>
      <c r="B660" s="58">
        <v>39713</v>
      </c>
      <c r="C660" s="1721" t="s">
        <v>800</v>
      </c>
      <c r="D660" s="1722"/>
      <c r="E660" s="1722"/>
      <c r="F660" s="1722"/>
      <c r="G660" s="1722"/>
      <c r="H660" s="1722"/>
      <c r="I660" s="1723"/>
      <c r="J660" s="599" t="s">
        <v>214</v>
      </c>
      <c r="K660" s="599">
        <v>1</v>
      </c>
      <c r="L660" s="1183">
        <v>1.62</v>
      </c>
      <c r="M660" s="693">
        <f t="shared" ref="M660:M662" si="28">ROUND(K660*L660,2)</f>
        <v>1.62</v>
      </c>
    </row>
    <row r="661" spans="1:13" x14ac:dyDescent="0.2">
      <c r="A661" s="1134" t="s">
        <v>282</v>
      </c>
      <c r="B661" s="58">
        <v>88264</v>
      </c>
      <c r="C661" s="1721" t="s">
        <v>222</v>
      </c>
      <c r="D661" s="1722"/>
      <c r="E661" s="1722"/>
      <c r="F661" s="1722"/>
      <c r="G661" s="1722"/>
      <c r="H661" s="1722"/>
      <c r="I661" s="1723"/>
      <c r="J661" s="599" t="s">
        <v>217</v>
      </c>
      <c r="K661" s="599">
        <v>0.36449999999999999</v>
      </c>
      <c r="L661" s="1183">
        <v>21.52</v>
      </c>
      <c r="M661" s="693">
        <f t="shared" si="28"/>
        <v>7.84</v>
      </c>
    </row>
    <row r="662" spans="1:13" x14ac:dyDescent="0.2">
      <c r="A662" s="295" t="s">
        <v>282</v>
      </c>
      <c r="B662" s="692">
        <v>88247</v>
      </c>
      <c r="C662" s="1721" t="s">
        <v>221</v>
      </c>
      <c r="D662" s="1722"/>
      <c r="E662" s="1722"/>
      <c r="F662" s="1722"/>
      <c r="G662" s="1722"/>
      <c r="H662" s="1722"/>
      <c r="I662" s="1723"/>
      <c r="J662" s="401" t="s">
        <v>217</v>
      </c>
      <c r="K662" s="402">
        <v>0.15190000000000001</v>
      </c>
      <c r="L662" s="1183">
        <v>17.75</v>
      </c>
      <c r="M662" s="693">
        <f t="shared" si="28"/>
        <v>2.7</v>
      </c>
    </row>
    <row r="663" spans="1:13" x14ac:dyDescent="0.2">
      <c r="A663" s="292"/>
      <c r="B663" s="1131"/>
      <c r="C663" s="1730" t="s">
        <v>1171</v>
      </c>
      <c r="D663" s="1725"/>
      <c r="E663" s="1725"/>
      <c r="F663" s="1725"/>
      <c r="G663" s="1725"/>
      <c r="H663" s="1725"/>
      <c r="I663" s="1725"/>
      <c r="J663" s="1731"/>
      <c r="K663" s="669"/>
      <c r="L663" s="1159"/>
      <c r="M663" s="1154">
        <f>SUM(M660:M662)</f>
        <v>12.16</v>
      </c>
    </row>
    <row r="665" spans="1:13" x14ac:dyDescent="0.2">
      <c r="A665" s="669" t="s">
        <v>375</v>
      </c>
      <c r="B665" s="1730" t="s">
        <v>131</v>
      </c>
      <c r="C665" s="1725"/>
      <c r="D665" s="1725"/>
      <c r="E665" s="1725"/>
      <c r="F665" s="1725"/>
      <c r="G665" s="1725"/>
      <c r="H665" s="1725"/>
      <c r="I665" s="1725"/>
      <c r="J665" s="1725"/>
      <c r="K665" s="1725"/>
      <c r="L665" s="1725"/>
      <c r="M665" s="1731"/>
    </row>
    <row r="666" spans="1:13" ht="12.75" customHeight="1" x14ac:dyDescent="0.2">
      <c r="A666" s="291" t="str">
        <f>ORÇ!A446</f>
        <v>18.2</v>
      </c>
      <c r="B666" s="623"/>
      <c r="C666" s="1769" t="s">
        <v>756</v>
      </c>
      <c r="D666" s="1770"/>
      <c r="E666" s="1770"/>
      <c r="F666" s="1770"/>
      <c r="G666" s="1770"/>
      <c r="H666" s="1770"/>
      <c r="I666" s="1770"/>
      <c r="J666" s="1770"/>
      <c r="K666" s="1771"/>
      <c r="L666" s="1147" t="s">
        <v>1173</v>
      </c>
      <c r="M666" s="1169" t="s">
        <v>17</v>
      </c>
    </row>
    <row r="667" spans="1:13" x14ac:dyDescent="0.2">
      <c r="A667" s="1724" t="s">
        <v>1103</v>
      </c>
      <c r="B667" s="1725"/>
      <c r="C667" s="1725"/>
      <c r="D667" s="1725"/>
      <c r="E667" s="1725"/>
      <c r="F667" s="1725"/>
      <c r="G667" s="1725"/>
      <c r="H667" s="1725"/>
      <c r="I667" s="1725"/>
      <c r="J667" s="1725"/>
      <c r="K667" s="1725"/>
      <c r="L667" s="1725"/>
      <c r="M667" s="1726"/>
    </row>
    <row r="668" spans="1:13" x14ac:dyDescent="0.2">
      <c r="A668" s="666" t="s">
        <v>281</v>
      </c>
      <c r="B668" s="667" t="s">
        <v>92</v>
      </c>
      <c r="C668" s="1145"/>
      <c r="D668" s="1145"/>
      <c r="E668" s="1145"/>
      <c r="F668" s="1145" t="s">
        <v>93</v>
      </c>
      <c r="G668" s="1145"/>
      <c r="H668" s="1145"/>
      <c r="I668" s="1146"/>
      <c r="J668" s="667" t="s">
        <v>94</v>
      </c>
      <c r="K668" s="667" t="s">
        <v>35</v>
      </c>
      <c r="L668" s="1157" t="s">
        <v>95</v>
      </c>
      <c r="M668" s="1147" t="s">
        <v>86</v>
      </c>
    </row>
    <row r="669" spans="1:13" ht="38.25" customHeight="1" x14ac:dyDescent="0.2">
      <c r="A669" s="956" t="s">
        <v>445</v>
      </c>
      <c r="B669" s="957">
        <v>7568</v>
      </c>
      <c r="C669" s="1721" t="s">
        <v>403</v>
      </c>
      <c r="D669" s="1722"/>
      <c r="E669" s="1722"/>
      <c r="F669" s="1722"/>
      <c r="G669" s="1722"/>
      <c r="H669" s="1722"/>
      <c r="I669" s="1723"/>
      <c r="J669" s="602" t="s">
        <v>220</v>
      </c>
      <c r="K669" s="603">
        <v>3.2730000000000001</v>
      </c>
      <c r="L669" s="614">
        <v>0.92</v>
      </c>
      <c r="M669" s="693">
        <f t="shared" ref="M669:M674" si="29">ROUND(K669*L669,2)</f>
        <v>3.01</v>
      </c>
    </row>
    <row r="670" spans="1:13" x14ac:dyDescent="0.2">
      <c r="A670" s="956" t="s">
        <v>445</v>
      </c>
      <c r="B670" s="957">
        <v>11002</v>
      </c>
      <c r="C670" s="1721" t="s">
        <v>839</v>
      </c>
      <c r="D670" s="1722"/>
      <c r="E670" s="1722"/>
      <c r="F670" s="1722"/>
      <c r="G670" s="1722"/>
      <c r="H670" s="1722"/>
      <c r="I670" s="1723"/>
      <c r="J670" s="602" t="s">
        <v>216</v>
      </c>
      <c r="K670" s="668">
        <v>4.0000000000000001E-3</v>
      </c>
      <c r="L670" s="614">
        <v>31.69</v>
      </c>
      <c r="M670" s="693">
        <f t="shared" si="29"/>
        <v>0.13</v>
      </c>
    </row>
    <row r="671" spans="1:13" x14ac:dyDescent="0.2">
      <c r="A671" s="956" t="s">
        <v>445</v>
      </c>
      <c r="B671" s="957">
        <v>11033</v>
      </c>
      <c r="C671" s="1721" t="s">
        <v>840</v>
      </c>
      <c r="D671" s="1722"/>
      <c r="E671" s="1722"/>
      <c r="F671" s="1722"/>
      <c r="G671" s="1722"/>
      <c r="H671" s="1722"/>
      <c r="I671" s="1723"/>
      <c r="J671" s="602" t="s">
        <v>220</v>
      </c>
      <c r="K671" s="668">
        <v>1.091</v>
      </c>
      <c r="L671" s="614">
        <v>8.11</v>
      </c>
      <c r="M671" s="693">
        <f t="shared" si="29"/>
        <v>8.85</v>
      </c>
    </row>
    <row r="672" spans="1:13" ht="32.25" customHeight="1" x14ac:dyDescent="0.2">
      <c r="A672" s="956" t="s">
        <v>445</v>
      </c>
      <c r="B672" s="957">
        <v>21013</v>
      </c>
      <c r="C672" s="1721" t="s">
        <v>842</v>
      </c>
      <c r="D672" s="1722"/>
      <c r="E672" s="1722"/>
      <c r="F672" s="1722"/>
      <c r="G672" s="1722"/>
      <c r="H672" s="1722"/>
      <c r="I672" s="1723"/>
      <c r="J672" s="602" t="s">
        <v>214</v>
      </c>
      <c r="K672" s="668">
        <v>1.0289999999999999</v>
      </c>
      <c r="L672" s="614">
        <v>90.23</v>
      </c>
      <c r="M672" s="693">
        <f t="shared" si="29"/>
        <v>92.85</v>
      </c>
    </row>
    <row r="673" spans="1:13" x14ac:dyDescent="0.2">
      <c r="A673" s="956" t="s">
        <v>282</v>
      </c>
      <c r="B673" s="957">
        <v>88251</v>
      </c>
      <c r="C673" s="1721" t="s">
        <v>679</v>
      </c>
      <c r="D673" s="1722"/>
      <c r="E673" s="1722"/>
      <c r="F673" s="1722"/>
      <c r="G673" s="1722"/>
      <c r="H673" s="1722"/>
      <c r="I673" s="1723"/>
      <c r="J673" s="602" t="s">
        <v>217</v>
      </c>
      <c r="K673" s="668">
        <v>0.77800000000000002</v>
      </c>
      <c r="L673" s="614">
        <v>17.5</v>
      </c>
      <c r="M673" s="693">
        <f t="shared" si="29"/>
        <v>13.62</v>
      </c>
    </row>
    <row r="674" spans="1:13" x14ac:dyDescent="0.2">
      <c r="A674" s="956" t="s">
        <v>282</v>
      </c>
      <c r="B674" s="957">
        <v>88315</v>
      </c>
      <c r="C674" s="1721" t="s">
        <v>841</v>
      </c>
      <c r="D674" s="1722"/>
      <c r="E674" s="1722"/>
      <c r="F674" s="1722"/>
      <c r="G674" s="1722"/>
      <c r="H674" s="1722"/>
      <c r="I674" s="1723"/>
      <c r="J674" s="602" t="s">
        <v>217</v>
      </c>
      <c r="K674" s="668">
        <v>0.94799999999999995</v>
      </c>
      <c r="L674" s="614">
        <v>21.19</v>
      </c>
      <c r="M674" s="693">
        <f t="shared" si="29"/>
        <v>20.09</v>
      </c>
    </row>
    <row r="675" spans="1:13" x14ac:dyDescent="0.2">
      <c r="A675" s="600"/>
      <c r="B675" s="665"/>
      <c r="C675" s="1730" t="s">
        <v>1171</v>
      </c>
      <c r="D675" s="1725"/>
      <c r="E675" s="1725"/>
      <c r="F675" s="1725"/>
      <c r="G675" s="1725"/>
      <c r="H675" s="1725"/>
      <c r="I675" s="1725"/>
      <c r="J675" s="1731"/>
      <c r="K675" s="669"/>
      <c r="L675" s="915"/>
      <c r="M675" s="1154">
        <f>SUM(M669:M674)</f>
        <v>138.54999999999998</v>
      </c>
    </row>
    <row r="677" spans="1:13" x14ac:dyDescent="0.2">
      <c r="A677" s="669" t="s">
        <v>375</v>
      </c>
      <c r="B677" s="1730" t="s">
        <v>131</v>
      </c>
      <c r="C677" s="1725"/>
      <c r="D677" s="1725"/>
      <c r="E677" s="1725"/>
      <c r="F677" s="1725"/>
      <c r="G677" s="1725"/>
      <c r="H677" s="1725"/>
      <c r="I677" s="1725"/>
      <c r="J677" s="1725"/>
      <c r="K677" s="1725"/>
      <c r="L677" s="1725"/>
      <c r="M677" s="1731"/>
    </row>
    <row r="678" spans="1:13" ht="12.75" customHeight="1" x14ac:dyDescent="0.2">
      <c r="A678" s="291" t="str">
        <f>ORÇ!A263</f>
        <v>12.3</v>
      </c>
      <c r="B678" s="623"/>
      <c r="C678" s="1727" t="s">
        <v>957</v>
      </c>
      <c r="D678" s="1728"/>
      <c r="E678" s="1728"/>
      <c r="F678" s="1728"/>
      <c r="G678" s="1728"/>
      <c r="H678" s="1728"/>
      <c r="I678" s="1728"/>
      <c r="J678" s="1728"/>
      <c r="K678" s="1729"/>
      <c r="L678" s="1147" t="s">
        <v>1173</v>
      </c>
      <c r="M678" s="1169" t="s">
        <v>96</v>
      </c>
    </row>
    <row r="679" spans="1:13" x14ac:dyDescent="0.2">
      <c r="A679" s="1724" t="s">
        <v>1139</v>
      </c>
      <c r="B679" s="1725"/>
      <c r="C679" s="1725"/>
      <c r="D679" s="1725"/>
      <c r="E679" s="1725"/>
      <c r="F679" s="1725"/>
      <c r="G679" s="1725"/>
      <c r="H679" s="1725"/>
      <c r="I679" s="1725"/>
      <c r="J679" s="1725"/>
      <c r="K679" s="1725"/>
      <c r="L679" s="1725"/>
      <c r="M679" s="1726"/>
    </row>
    <row r="680" spans="1:13" x14ac:dyDescent="0.2">
      <c r="A680" s="666" t="s">
        <v>281</v>
      </c>
      <c r="B680" s="667" t="s">
        <v>92</v>
      </c>
      <c r="C680" s="1145"/>
      <c r="D680" s="1145"/>
      <c r="E680" s="1145"/>
      <c r="F680" s="1145" t="s">
        <v>93</v>
      </c>
      <c r="G680" s="1145"/>
      <c r="H680" s="1145"/>
      <c r="I680" s="1146"/>
      <c r="J680" s="667" t="s">
        <v>94</v>
      </c>
      <c r="K680" s="667" t="s">
        <v>35</v>
      </c>
      <c r="L680" s="1157" t="s">
        <v>95</v>
      </c>
      <c r="M680" s="1147" t="s">
        <v>86</v>
      </c>
    </row>
    <row r="681" spans="1:13" x14ac:dyDescent="0.2">
      <c r="A681" s="956" t="s">
        <v>445</v>
      </c>
      <c r="B681" s="957">
        <v>39603</v>
      </c>
      <c r="C681" s="1721" t="s">
        <v>956</v>
      </c>
      <c r="D681" s="1722"/>
      <c r="E681" s="1722"/>
      <c r="F681" s="1722"/>
      <c r="G681" s="1722"/>
      <c r="H681" s="1722"/>
      <c r="I681" s="1723"/>
      <c r="J681" s="602" t="s">
        <v>236</v>
      </c>
      <c r="K681" s="603">
        <v>1</v>
      </c>
      <c r="L681" s="614">
        <v>3.84</v>
      </c>
      <c r="M681" s="1287">
        <f t="shared" ref="M681:M683" si="30">ROUND(L681*K681,2)</f>
        <v>3.84</v>
      </c>
    </row>
    <row r="682" spans="1:13" x14ac:dyDescent="0.2">
      <c r="A682" s="956" t="s">
        <v>282</v>
      </c>
      <c r="B682" s="957">
        <v>88247</v>
      </c>
      <c r="C682" s="1721" t="s">
        <v>221</v>
      </c>
      <c r="D682" s="1722"/>
      <c r="E682" s="1722"/>
      <c r="F682" s="1722"/>
      <c r="G682" s="1722"/>
      <c r="H682" s="1722"/>
      <c r="I682" s="1723"/>
      <c r="J682" s="602" t="s">
        <v>217</v>
      </c>
      <c r="K682" s="668">
        <v>0.3</v>
      </c>
      <c r="L682" s="614">
        <v>17.75</v>
      </c>
      <c r="M682" s="1287">
        <f t="shared" si="30"/>
        <v>5.33</v>
      </c>
    </row>
    <row r="683" spans="1:13" x14ac:dyDescent="0.2">
      <c r="A683" s="956" t="s">
        <v>282</v>
      </c>
      <c r="B683" s="957">
        <v>88264</v>
      </c>
      <c r="C683" s="1721" t="s">
        <v>222</v>
      </c>
      <c r="D683" s="1722"/>
      <c r="E683" s="1722"/>
      <c r="F683" s="1722"/>
      <c r="G683" s="1722"/>
      <c r="H683" s="1722"/>
      <c r="I683" s="1723"/>
      <c r="J683" s="602" t="s">
        <v>217</v>
      </c>
      <c r="K683" s="668">
        <v>0.3</v>
      </c>
      <c r="L683" s="614">
        <v>21.52</v>
      </c>
      <c r="M683" s="1287">
        <f t="shared" si="30"/>
        <v>6.46</v>
      </c>
    </row>
    <row r="684" spans="1:13" x14ac:dyDescent="0.2">
      <c r="A684" s="600"/>
      <c r="B684" s="665"/>
      <c r="C684" s="1730" t="s">
        <v>1171</v>
      </c>
      <c r="D684" s="1725"/>
      <c r="E684" s="1725"/>
      <c r="F684" s="1725"/>
      <c r="G684" s="1725"/>
      <c r="H684" s="1725"/>
      <c r="I684" s="1725"/>
      <c r="J684" s="1731"/>
      <c r="K684" s="669"/>
      <c r="L684" s="915"/>
      <c r="M684" s="1154">
        <f>SUM(M681:M683)</f>
        <v>15.629999999999999</v>
      </c>
    </row>
    <row r="686" spans="1:13" x14ac:dyDescent="0.2">
      <c r="A686" s="1344" t="s">
        <v>375</v>
      </c>
      <c r="B686" s="1730" t="s">
        <v>131</v>
      </c>
      <c r="C686" s="1725"/>
      <c r="D686" s="1725"/>
      <c r="E686" s="1725"/>
      <c r="F686" s="1725"/>
      <c r="G686" s="1725"/>
      <c r="H686" s="1725"/>
      <c r="I686" s="1725"/>
      <c r="J686" s="1725"/>
      <c r="K686" s="1725"/>
      <c r="L686" s="1725"/>
      <c r="M686" s="1731"/>
    </row>
    <row r="687" spans="1:13" ht="33" customHeight="1" x14ac:dyDescent="0.2">
      <c r="A687" s="1462" t="str">
        <f>ORÇ!A371</f>
        <v>14.4.20</v>
      </c>
      <c r="B687" s="1463"/>
      <c r="C687" s="1721" t="s">
        <v>1458</v>
      </c>
      <c r="D687" s="1722"/>
      <c r="E687" s="1722"/>
      <c r="F687" s="1722"/>
      <c r="G687" s="1722"/>
      <c r="H687" s="1722"/>
      <c r="I687" s="1722"/>
      <c r="J687" s="1722"/>
      <c r="K687" s="1723"/>
      <c r="L687" s="1147" t="s">
        <v>1173</v>
      </c>
      <c r="M687" s="1480" t="s">
        <v>96</v>
      </c>
    </row>
    <row r="688" spans="1:13" x14ac:dyDescent="0.2">
      <c r="A688" s="1724" t="s">
        <v>1722</v>
      </c>
      <c r="B688" s="1725"/>
      <c r="C688" s="1725"/>
      <c r="D688" s="1725"/>
      <c r="E688" s="1725"/>
      <c r="F688" s="1725"/>
      <c r="G688" s="1725"/>
      <c r="H688" s="1725"/>
      <c r="I688" s="1725"/>
      <c r="J688" s="1725"/>
      <c r="K688" s="1725"/>
      <c r="L688" s="1725"/>
      <c r="M688" s="1726"/>
    </row>
    <row r="689" spans="1:13" x14ac:dyDescent="0.2">
      <c r="A689" s="666" t="s">
        <v>281</v>
      </c>
      <c r="B689" s="1349" t="s">
        <v>92</v>
      </c>
      <c r="C689" s="1145"/>
      <c r="D689" s="1145"/>
      <c r="E689" s="1145"/>
      <c r="F689" s="1145" t="s">
        <v>93</v>
      </c>
      <c r="G689" s="1145"/>
      <c r="H689" s="1145"/>
      <c r="I689" s="1146"/>
      <c r="J689" s="1349" t="s">
        <v>94</v>
      </c>
      <c r="K689" s="1349" t="s">
        <v>35</v>
      </c>
      <c r="L689" s="1157" t="s">
        <v>95</v>
      </c>
      <c r="M689" s="1147" t="s">
        <v>86</v>
      </c>
    </row>
    <row r="690" spans="1:13" ht="24" customHeight="1" x14ac:dyDescent="0.2">
      <c r="A690" s="1345" t="s">
        <v>445</v>
      </c>
      <c r="B690" s="1481">
        <v>39319</v>
      </c>
      <c r="C690" s="1721" t="s">
        <v>1459</v>
      </c>
      <c r="D690" s="1722"/>
      <c r="E690" s="1722"/>
      <c r="F690" s="1722"/>
      <c r="G690" s="1722"/>
      <c r="H690" s="1722"/>
      <c r="I690" s="1723"/>
      <c r="J690" s="602" t="s">
        <v>1460</v>
      </c>
      <c r="K690" s="603">
        <v>1</v>
      </c>
      <c r="L690" s="1467">
        <v>7.43</v>
      </c>
      <c r="M690" s="1482">
        <f t="shared" ref="M690:M695" si="31">ROUND(L690*K690,2)</f>
        <v>7.43</v>
      </c>
    </row>
    <row r="691" spans="1:13" ht="24" customHeight="1" x14ac:dyDescent="0.2">
      <c r="A691" s="1345" t="s">
        <v>282</v>
      </c>
      <c r="B691" s="1481">
        <v>88248</v>
      </c>
      <c r="C691" s="1721" t="s">
        <v>560</v>
      </c>
      <c r="D691" s="1722"/>
      <c r="E691" s="1722"/>
      <c r="F691" s="1722"/>
      <c r="G691" s="1722"/>
      <c r="H691" s="1722"/>
      <c r="I691" s="1723"/>
      <c r="J691" s="602" t="s">
        <v>217</v>
      </c>
      <c r="K691" s="603">
        <v>0.6</v>
      </c>
      <c r="L691" s="1467">
        <v>16.989999999999998</v>
      </c>
      <c r="M691" s="1482">
        <f t="shared" si="31"/>
        <v>10.19</v>
      </c>
    </row>
    <row r="692" spans="1:13" ht="40.5" customHeight="1" x14ac:dyDescent="0.2">
      <c r="A692" s="1345" t="s">
        <v>282</v>
      </c>
      <c r="B692" s="1481">
        <v>88267</v>
      </c>
      <c r="C692" s="1721" t="s">
        <v>401</v>
      </c>
      <c r="D692" s="1722"/>
      <c r="E692" s="1722"/>
      <c r="F692" s="1722"/>
      <c r="G692" s="1722"/>
      <c r="H692" s="1722"/>
      <c r="I692" s="1723"/>
      <c r="J692" s="602" t="s">
        <v>217</v>
      </c>
      <c r="K692" s="603">
        <v>0.6</v>
      </c>
      <c r="L692" s="1467">
        <v>20.7</v>
      </c>
      <c r="M692" s="1482">
        <f t="shared" si="31"/>
        <v>12.42</v>
      </c>
    </row>
    <row r="693" spans="1:13" ht="33" customHeight="1" x14ac:dyDescent="0.2">
      <c r="A693" s="1345" t="s">
        <v>445</v>
      </c>
      <c r="B693" s="1481">
        <v>122</v>
      </c>
      <c r="C693" s="1721" t="s">
        <v>1461</v>
      </c>
      <c r="D693" s="1722"/>
      <c r="E693" s="1722"/>
      <c r="F693" s="1722"/>
      <c r="G693" s="1722"/>
      <c r="H693" s="1722"/>
      <c r="I693" s="1723"/>
      <c r="J693" s="602" t="s">
        <v>220</v>
      </c>
      <c r="K693" s="668">
        <v>0.02</v>
      </c>
      <c r="L693" s="1467">
        <v>58.09</v>
      </c>
      <c r="M693" s="1287">
        <f t="shared" si="31"/>
        <v>1.1599999999999999</v>
      </c>
    </row>
    <row r="694" spans="1:13" ht="24" customHeight="1" x14ac:dyDescent="0.2">
      <c r="A694" s="1345" t="s">
        <v>445</v>
      </c>
      <c r="B694" s="1481">
        <v>20078</v>
      </c>
      <c r="C694" s="1721" t="s">
        <v>985</v>
      </c>
      <c r="D694" s="1722"/>
      <c r="E694" s="1722"/>
      <c r="F694" s="1722"/>
      <c r="G694" s="1722"/>
      <c r="H694" s="1722"/>
      <c r="I694" s="1723"/>
      <c r="J694" s="602" t="s">
        <v>220</v>
      </c>
      <c r="K694" s="668">
        <v>0.02</v>
      </c>
      <c r="L694" s="1467">
        <v>23.97</v>
      </c>
      <c r="M694" s="1287">
        <f t="shared" si="31"/>
        <v>0.48</v>
      </c>
    </row>
    <row r="695" spans="1:13" x14ac:dyDescent="0.2">
      <c r="A695" s="1345" t="s">
        <v>445</v>
      </c>
      <c r="B695" s="1481">
        <v>38383</v>
      </c>
      <c r="C695" s="1721" t="s">
        <v>1462</v>
      </c>
      <c r="D695" s="1722"/>
      <c r="E695" s="1722"/>
      <c r="F695" s="1722"/>
      <c r="G695" s="1722"/>
      <c r="H695" s="1722"/>
      <c r="I695" s="1723"/>
      <c r="J695" s="602" t="s">
        <v>220</v>
      </c>
      <c r="K695" s="603">
        <v>0.2</v>
      </c>
      <c r="L695" s="1467">
        <v>1.46</v>
      </c>
      <c r="M695" s="1482">
        <f t="shared" si="31"/>
        <v>0.28999999999999998</v>
      </c>
    </row>
    <row r="696" spans="1:13" x14ac:dyDescent="0.2">
      <c r="A696" s="600"/>
      <c r="B696" s="665"/>
      <c r="C696" s="1730" t="s">
        <v>1171</v>
      </c>
      <c r="D696" s="1725"/>
      <c r="E696" s="1725"/>
      <c r="F696" s="1725"/>
      <c r="G696" s="1725"/>
      <c r="H696" s="1725"/>
      <c r="I696" s="1725"/>
      <c r="J696" s="1731"/>
      <c r="K696" s="1344"/>
      <c r="L696" s="915"/>
      <c r="M696" s="1154">
        <f>SUM(M690:M695)</f>
        <v>31.97</v>
      </c>
    </row>
    <row r="698" spans="1:13" x14ac:dyDescent="0.2">
      <c r="A698" s="669" t="s">
        <v>375</v>
      </c>
      <c r="B698" s="1730" t="s">
        <v>131</v>
      </c>
      <c r="C698" s="1725"/>
      <c r="D698" s="1725"/>
      <c r="E698" s="1725"/>
      <c r="F698" s="1725"/>
      <c r="G698" s="1725"/>
      <c r="H698" s="1725"/>
      <c r="I698" s="1725"/>
      <c r="J698" s="1725"/>
      <c r="K698" s="1725"/>
      <c r="L698" s="1725"/>
      <c r="M698" s="1731"/>
    </row>
    <row r="699" spans="1:13" ht="33.75" customHeight="1" x14ac:dyDescent="0.2">
      <c r="A699" s="291" t="str">
        <f>ORÇ!A471</f>
        <v>19.4.1</v>
      </c>
      <c r="B699" s="623"/>
      <c r="C699" s="1727" t="s">
        <v>1016</v>
      </c>
      <c r="D699" s="1728"/>
      <c r="E699" s="1728"/>
      <c r="F699" s="1728"/>
      <c r="G699" s="1728"/>
      <c r="H699" s="1728"/>
      <c r="I699" s="1728"/>
      <c r="J699" s="1728"/>
      <c r="K699" s="1729"/>
      <c r="L699" s="1147" t="s">
        <v>1173</v>
      </c>
      <c r="M699" s="1169" t="s">
        <v>96</v>
      </c>
    </row>
    <row r="700" spans="1:13" x14ac:dyDescent="0.2">
      <c r="A700" s="1724" t="s">
        <v>1723</v>
      </c>
      <c r="B700" s="1725"/>
      <c r="C700" s="1725"/>
      <c r="D700" s="1725"/>
      <c r="E700" s="1725"/>
      <c r="F700" s="1725"/>
      <c r="G700" s="1725"/>
      <c r="H700" s="1725"/>
      <c r="I700" s="1725"/>
      <c r="J700" s="1725"/>
      <c r="K700" s="1725"/>
      <c r="L700" s="1725"/>
      <c r="M700" s="1726"/>
    </row>
    <row r="701" spans="1:13" x14ac:dyDescent="0.2">
      <c r="A701" s="666" t="s">
        <v>281</v>
      </c>
      <c r="B701" s="667" t="s">
        <v>92</v>
      </c>
      <c r="C701" s="1145"/>
      <c r="D701" s="1145"/>
      <c r="E701" s="1145"/>
      <c r="F701" s="1145" t="s">
        <v>93</v>
      </c>
      <c r="G701" s="1145"/>
      <c r="H701" s="1145"/>
      <c r="I701" s="1146"/>
      <c r="J701" s="667" t="s">
        <v>94</v>
      </c>
      <c r="K701" s="667" t="s">
        <v>35</v>
      </c>
      <c r="L701" s="1157" t="s">
        <v>95</v>
      </c>
      <c r="M701" s="1147" t="s">
        <v>86</v>
      </c>
    </row>
    <row r="702" spans="1:13" ht="30.75" customHeight="1" x14ac:dyDescent="0.2">
      <c r="A702" s="1134" t="s">
        <v>445</v>
      </c>
      <c r="B702" s="957">
        <v>4777</v>
      </c>
      <c r="C702" s="1721" t="s">
        <v>1017</v>
      </c>
      <c r="D702" s="1722"/>
      <c r="E702" s="1722"/>
      <c r="F702" s="1722"/>
      <c r="G702" s="1722"/>
      <c r="H702" s="1722"/>
      <c r="I702" s="1723"/>
      <c r="J702" s="602" t="s">
        <v>216</v>
      </c>
      <c r="K702" s="603">
        <v>29.8</v>
      </c>
      <c r="L702" s="1185">
        <v>10.83</v>
      </c>
      <c r="M702" s="1287">
        <f t="shared" ref="M702:M707" si="32">ROUND(L702*K702,2)</f>
        <v>322.73</v>
      </c>
    </row>
    <row r="703" spans="1:13" ht="30.75" customHeight="1" x14ac:dyDescent="0.2">
      <c r="A703" s="1134" t="s">
        <v>445</v>
      </c>
      <c r="B703" s="957">
        <v>1321</v>
      </c>
      <c r="C703" s="1721" t="s">
        <v>1018</v>
      </c>
      <c r="D703" s="1722"/>
      <c r="E703" s="1722"/>
      <c r="F703" s="1722"/>
      <c r="G703" s="1722"/>
      <c r="H703" s="1722"/>
      <c r="I703" s="1723"/>
      <c r="J703" s="602" t="s">
        <v>216</v>
      </c>
      <c r="K703" s="603">
        <v>34.74</v>
      </c>
      <c r="L703" s="1185">
        <v>10.58</v>
      </c>
      <c r="M703" s="1287">
        <f t="shared" si="32"/>
        <v>367.55</v>
      </c>
    </row>
    <row r="704" spans="1:13" ht="49.5" customHeight="1" x14ac:dyDescent="0.2">
      <c r="A704" s="1134" t="s">
        <v>282</v>
      </c>
      <c r="B704" s="957">
        <v>94963</v>
      </c>
      <c r="C704" s="1721" t="s">
        <v>1019</v>
      </c>
      <c r="D704" s="1722"/>
      <c r="E704" s="1722"/>
      <c r="F704" s="1722"/>
      <c r="G704" s="1722"/>
      <c r="H704" s="1722"/>
      <c r="I704" s="1723"/>
      <c r="J704" s="602" t="s">
        <v>373</v>
      </c>
      <c r="K704" s="603">
        <v>0.34160000000000001</v>
      </c>
      <c r="L704" s="1185">
        <v>467.02</v>
      </c>
      <c r="M704" s="1287">
        <f t="shared" si="32"/>
        <v>159.53</v>
      </c>
    </row>
    <row r="705" spans="1:13" x14ac:dyDescent="0.2">
      <c r="A705" s="1134" t="s">
        <v>282</v>
      </c>
      <c r="B705" s="957">
        <v>88315</v>
      </c>
      <c r="C705" s="1721" t="s">
        <v>1020</v>
      </c>
      <c r="D705" s="1722"/>
      <c r="E705" s="1722"/>
      <c r="F705" s="1722"/>
      <c r="G705" s="1722"/>
      <c r="H705" s="1722"/>
      <c r="I705" s="1723"/>
      <c r="J705" s="602" t="s">
        <v>217</v>
      </c>
      <c r="K705" s="603">
        <v>1.7</v>
      </c>
      <c r="L705" s="1185">
        <v>21.19</v>
      </c>
      <c r="M705" s="1287">
        <f t="shared" si="32"/>
        <v>36.020000000000003</v>
      </c>
    </row>
    <row r="706" spans="1:13" x14ac:dyDescent="0.2">
      <c r="A706" s="1134" t="s">
        <v>282</v>
      </c>
      <c r="B706" s="957">
        <v>88251</v>
      </c>
      <c r="C706" s="1721" t="s">
        <v>1021</v>
      </c>
      <c r="D706" s="1722"/>
      <c r="E706" s="1722"/>
      <c r="F706" s="1722"/>
      <c r="G706" s="1722"/>
      <c r="H706" s="1722"/>
      <c r="I706" s="1723"/>
      <c r="J706" s="602" t="s">
        <v>217</v>
      </c>
      <c r="K706" s="603">
        <v>1.7</v>
      </c>
      <c r="L706" s="1185">
        <v>17.5</v>
      </c>
      <c r="M706" s="1287">
        <f t="shared" si="32"/>
        <v>29.75</v>
      </c>
    </row>
    <row r="707" spans="1:13" x14ac:dyDescent="0.2">
      <c r="A707" s="1134" t="s">
        <v>282</v>
      </c>
      <c r="B707" s="957">
        <v>88317</v>
      </c>
      <c r="C707" s="1721" t="s">
        <v>1022</v>
      </c>
      <c r="D707" s="1722"/>
      <c r="E707" s="1722"/>
      <c r="F707" s="1722"/>
      <c r="G707" s="1722"/>
      <c r="H707" s="1722"/>
      <c r="I707" s="1723"/>
      <c r="J707" s="602" t="s">
        <v>217</v>
      </c>
      <c r="K707" s="603">
        <v>1.7</v>
      </c>
      <c r="L707" s="1185">
        <v>22.01</v>
      </c>
      <c r="M707" s="1287">
        <f t="shared" si="32"/>
        <v>37.42</v>
      </c>
    </row>
    <row r="708" spans="1:13" x14ac:dyDescent="0.2">
      <c r="A708" s="600"/>
      <c r="B708" s="665"/>
      <c r="C708" s="1730" t="s">
        <v>1171</v>
      </c>
      <c r="D708" s="1725"/>
      <c r="E708" s="1725"/>
      <c r="F708" s="1725"/>
      <c r="G708" s="1725"/>
      <c r="H708" s="1725"/>
      <c r="I708" s="1725"/>
      <c r="J708" s="1731"/>
      <c r="K708" s="669"/>
      <c r="L708" s="915"/>
      <c r="M708" s="1154">
        <f>SUM(M702:M707)</f>
        <v>952.99999999999989</v>
      </c>
    </row>
    <row r="710" spans="1:13" x14ac:dyDescent="0.2">
      <c r="A710" s="669" t="s">
        <v>375</v>
      </c>
      <c r="B710" s="1730" t="s">
        <v>131</v>
      </c>
      <c r="C710" s="1725"/>
      <c r="D710" s="1725"/>
      <c r="E710" s="1725"/>
      <c r="F710" s="1725"/>
      <c r="G710" s="1725"/>
      <c r="H710" s="1725"/>
      <c r="I710" s="1725"/>
      <c r="J710" s="1725"/>
      <c r="K710" s="1725"/>
      <c r="L710" s="1725"/>
      <c r="M710" s="1731"/>
    </row>
    <row r="711" spans="1:13" ht="28.5" customHeight="1" x14ac:dyDescent="0.2">
      <c r="A711" s="291" t="str">
        <f>ORÇ!A472</f>
        <v>19.4.2</v>
      </c>
      <c r="B711" s="623"/>
      <c r="C711" s="1727" t="s">
        <v>1023</v>
      </c>
      <c r="D711" s="1728"/>
      <c r="E711" s="1728"/>
      <c r="F711" s="1728"/>
      <c r="G711" s="1728"/>
      <c r="H711" s="1728"/>
      <c r="I711" s="1728"/>
      <c r="J711" s="1728"/>
      <c r="K711" s="1729"/>
      <c r="L711" s="1147" t="s">
        <v>1173</v>
      </c>
      <c r="M711" s="1169" t="s">
        <v>96</v>
      </c>
    </row>
    <row r="712" spans="1:13" x14ac:dyDescent="0.2">
      <c r="A712" s="1724" t="s">
        <v>1724</v>
      </c>
      <c r="B712" s="1725"/>
      <c r="C712" s="1725"/>
      <c r="D712" s="1725"/>
      <c r="E712" s="1725"/>
      <c r="F712" s="1725"/>
      <c r="G712" s="1725"/>
      <c r="H712" s="1725"/>
      <c r="I712" s="1725"/>
      <c r="J712" s="1725"/>
      <c r="K712" s="1725"/>
      <c r="L712" s="1725"/>
      <c r="M712" s="1726"/>
    </row>
    <row r="713" spans="1:13" x14ac:dyDescent="0.2">
      <c r="A713" s="666" t="s">
        <v>281</v>
      </c>
      <c r="B713" s="667" t="s">
        <v>92</v>
      </c>
      <c r="C713" s="1145"/>
      <c r="D713" s="1145"/>
      <c r="E713" s="1145"/>
      <c r="F713" s="1145" t="s">
        <v>93</v>
      </c>
      <c r="G713" s="1145"/>
      <c r="H713" s="1145"/>
      <c r="I713" s="1146"/>
      <c r="J713" s="667" t="s">
        <v>94</v>
      </c>
      <c r="K713" s="667" t="s">
        <v>35</v>
      </c>
      <c r="L713" s="1157" t="s">
        <v>95</v>
      </c>
      <c r="M713" s="1147" t="s">
        <v>86</v>
      </c>
    </row>
    <row r="714" spans="1:13" ht="36.75" customHeight="1" x14ac:dyDescent="0.2">
      <c r="A714" s="1134" t="s">
        <v>445</v>
      </c>
      <c r="B714" s="957">
        <v>4777</v>
      </c>
      <c r="C714" s="1721" t="s">
        <v>1017</v>
      </c>
      <c r="D714" s="1722"/>
      <c r="E714" s="1722"/>
      <c r="F714" s="1722"/>
      <c r="G714" s="1722"/>
      <c r="H714" s="1722"/>
      <c r="I714" s="1723"/>
      <c r="J714" s="602" t="s">
        <v>216</v>
      </c>
      <c r="K714" s="603">
        <v>21.25</v>
      </c>
      <c r="L714" s="1185">
        <v>10.83</v>
      </c>
      <c r="M714" s="1287">
        <f t="shared" ref="M714:M719" si="33">ROUND(L714*K714,2)</f>
        <v>230.14</v>
      </c>
    </row>
    <row r="715" spans="1:13" ht="36.75" customHeight="1" x14ac:dyDescent="0.2">
      <c r="A715" s="1134" t="s">
        <v>445</v>
      </c>
      <c r="B715" s="957">
        <v>1321</v>
      </c>
      <c r="C715" s="1721" t="s">
        <v>1018</v>
      </c>
      <c r="D715" s="1722"/>
      <c r="E715" s="1722"/>
      <c r="F715" s="1722"/>
      <c r="G715" s="1722"/>
      <c r="H715" s="1722"/>
      <c r="I715" s="1723"/>
      <c r="J715" s="602" t="s">
        <v>216</v>
      </c>
      <c r="K715" s="668">
        <v>20.347999999999999</v>
      </c>
      <c r="L715" s="1185">
        <v>10.58</v>
      </c>
      <c r="M715" s="1287">
        <f t="shared" si="33"/>
        <v>215.28</v>
      </c>
    </row>
    <row r="716" spans="1:13" ht="42.75" customHeight="1" x14ac:dyDescent="0.2">
      <c r="A716" s="1134" t="s">
        <v>282</v>
      </c>
      <c r="B716" s="957">
        <v>94963</v>
      </c>
      <c r="C716" s="1721" t="s">
        <v>1019</v>
      </c>
      <c r="D716" s="1722"/>
      <c r="E716" s="1722"/>
      <c r="F716" s="1722"/>
      <c r="G716" s="1722"/>
      <c r="H716" s="1722"/>
      <c r="I716" s="1723"/>
      <c r="J716" s="602" t="s">
        <v>373</v>
      </c>
      <c r="K716" s="668">
        <v>0.24360000000000001</v>
      </c>
      <c r="L716" s="1185">
        <v>467.02</v>
      </c>
      <c r="M716" s="1287">
        <f t="shared" si="33"/>
        <v>113.77</v>
      </c>
    </row>
    <row r="717" spans="1:13" x14ac:dyDescent="0.2">
      <c r="A717" s="1134" t="s">
        <v>282</v>
      </c>
      <c r="B717" s="957">
        <v>88315</v>
      </c>
      <c r="C717" s="1721" t="s">
        <v>1020</v>
      </c>
      <c r="D717" s="1722"/>
      <c r="E717" s="1722"/>
      <c r="F717" s="1722"/>
      <c r="G717" s="1722"/>
      <c r="H717" s="1722"/>
      <c r="I717" s="1723"/>
      <c r="J717" s="602" t="s">
        <v>217</v>
      </c>
      <c r="K717" s="668">
        <v>1.5</v>
      </c>
      <c r="L717" s="1185">
        <v>21.19</v>
      </c>
      <c r="M717" s="1287">
        <f t="shared" si="33"/>
        <v>31.79</v>
      </c>
    </row>
    <row r="718" spans="1:13" x14ac:dyDescent="0.2">
      <c r="A718" s="1134" t="s">
        <v>282</v>
      </c>
      <c r="B718" s="957">
        <v>88251</v>
      </c>
      <c r="C718" s="1721" t="s">
        <v>1021</v>
      </c>
      <c r="D718" s="1722"/>
      <c r="E718" s="1722"/>
      <c r="F718" s="1722"/>
      <c r="G718" s="1722"/>
      <c r="H718" s="1722"/>
      <c r="I718" s="1723"/>
      <c r="J718" s="602" t="s">
        <v>217</v>
      </c>
      <c r="K718" s="668">
        <v>1.5</v>
      </c>
      <c r="L718" s="1185">
        <v>17.5</v>
      </c>
      <c r="M718" s="1287">
        <f t="shared" si="33"/>
        <v>26.25</v>
      </c>
    </row>
    <row r="719" spans="1:13" x14ac:dyDescent="0.2">
      <c r="A719" s="1134" t="s">
        <v>282</v>
      </c>
      <c r="B719" s="957">
        <v>88317</v>
      </c>
      <c r="C719" s="1721" t="s">
        <v>1022</v>
      </c>
      <c r="D719" s="1722"/>
      <c r="E719" s="1722"/>
      <c r="F719" s="1722"/>
      <c r="G719" s="1722"/>
      <c r="H719" s="1722"/>
      <c r="I719" s="1723"/>
      <c r="J719" s="602" t="s">
        <v>217</v>
      </c>
      <c r="K719" s="668">
        <v>1.5</v>
      </c>
      <c r="L719" s="1185">
        <v>22.01</v>
      </c>
      <c r="M719" s="1287">
        <f t="shared" si="33"/>
        <v>33.020000000000003</v>
      </c>
    </row>
    <row r="720" spans="1:13" x14ac:dyDescent="0.2">
      <c r="A720" s="600"/>
      <c r="B720" s="665"/>
      <c r="C720" s="1730" t="s">
        <v>1171</v>
      </c>
      <c r="D720" s="1725"/>
      <c r="E720" s="1725"/>
      <c r="F720" s="1725"/>
      <c r="G720" s="1725"/>
      <c r="H720" s="1725"/>
      <c r="I720" s="1725"/>
      <c r="J720" s="1731"/>
      <c r="K720" s="669"/>
      <c r="L720" s="915"/>
      <c r="M720" s="1154">
        <f>SUM(M714:M719)</f>
        <v>650.24999999999989</v>
      </c>
    </row>
    <row r="722" spans="1:13" x14ac:dyDescent="0.2">
      <c r="A722" s="669" t="s">
        <v>375</v>
      </c>
      <c r="B722" s="669"/>
      <c r="C722" s="1737"/>
      <c r="D722" s="1737"/>
      <c r="E722" s="1737"/>
      <c r="F722" s="1737"/>
      <c r="G722" s="1737"/>
      <c r="H722" s="1737"/>
      <c r="I722" s="1737"/>
      <c r="J722" s="1737"/>
      <c r="K722" s="1737"/>
      <c r="L722" s="1737"/>
      <c r="M722" s="1737"/>
    </row>
    <row r="723" spans="1:13" x14ac:dyDescent="0.2">
      <c r="A723" s="291" t="str">
        <f>ORÇ!A395</f>
        <v>15.13</v>
      </c>
      <c r="B723" s="623"/>
      <c r="C723" s="1727" t="s">
        <v>1077</v>
      </c>
      <c r="D723" s="1728"/>
      <c r="E723" s="1728"/>
      <c r="F723" s="1728"/>
      <c r="G723" s="1728"/>
      <c r="H723" s="1728"/>
      <c r="I723" s="1728"/>
      <c r="J723" s="1728"/>
      <c r="K723" s="1729"/>
      <c r="L723" s="1147"/>
      <c r="M723" s="1169" t="s">
        <v>96</v>
      </c>
    </row>
    <row r="724" spans="1:13" x14ac:dyDescent="0.2">
      <c r="A724" s="1724" t="s">
        <v>1176</v>
      </c>
      <c r="B724" s="1725"/>
      <c r="C724" s="1725"/>
      <c r="D724" s="1725"/>
      <c r="E724" s="1725"/>
      <c r="F724" s="1725"/>
      <c r="G724" s="1725"/>
      <c r="H724" s="1725"/>
      <c r="I724" s="1725"/>
      <c r="J724" s="1725"/>
      <c r="K724" s="1725"/>
      <c r="L724" s="1725"/>
      <c r="M724" s="1726"/>
    </row>
    <row r="725" spans="1:13" x14ac:dyDescent="0.2">
      <c r="A725" s="666" t="s">
        <v>281</v>
      </c>
      <c r="B725" s="667" t="s">
        <v>92</v>
      </c>
      <c r="C725" s="1145"/>
      <c r="D725" s="1145"/>
      <c r="E725" s="1145"/>
      <c r="F725" s="1145" t="s">
        <v>93</v>
      </c>
      <c r="G725" s="1145"/>
      <c r="H725" s="1145"/>
      <c r="I725" s="1146"/>
      <c r="J725" s="667" t="s">
        <v>94</v>
      </c>
      <c r="K725" s="667" t="s">
        <v>35</v>
      </c>
      <c r="L725" s="1157" t="s">
        <v>95</v>
      </c>
      <c r="M725" s="1147" t="s">
        <v>86</v>
      </c>
    </row>
    <row r="726" spans="1:13" ht="39.75" customHeight="1" x14ac:dyDescent="0.2">
      <c r="A726" s="1134" t="s">
        <v>445</v>
      </c>
      <c r="B726" s="957">
        <v>21127</v>
      </c>
      <c r="C726" s="1721" t="s">
        <v>1078</v>
      </c>
      <c r="D726" s="1722"/>
      <c r="E726" s="1722"/>
      <c r="F726" s="1722"/>
      <c r="G726" s="1722"/>
      <c r="H726" s="1722"/>
      <c r="I726" s="1723"/>
      <c r="J726" s="599" t="s">
        <v>1074</v>
      </c>
      <c r="K726" s="603">
        <v>0.14399999999999999</v>
      </c>
      <c r="L726" s="1185">
        <v>3.78</v>
      </c>
      <c r="M726" s="1287">
        <f t="shared" ref="M726:M729" si="34">ROUND(L726*K726,2)</f>
        <v>0.54</v>
      </c>
    </row>
    <row r="727" spans="1:13" x14ac:dyDescent="0.2">
      <c r="A727" s="1735" t="s">
        <v>620</v>
      </c>
      <c r="B727" s="1736"/>
      <c r="C727" s="1721" t="s">
        <v>1079</v>
      </c>
      <c r="D727" s="1722"/>
      <c r="E727" s="1722"/>
      <c r="F727" s="1722"/>
      <c r="G727" s="1722"/>
      <c r="H727" s="1722"/>
      <c r="I727" s="1723"/>
      <c r="J727" s="599" t="s">
        <v>1074</v>
      </c>
      <c r="K727" s="668">
        <v>1</v>
      </c>
      <c r="L727" s="1185">
        <v>155.62</v>
      </c>
      <c r="M727" s="1287">
        <f t="shared" si="34"/>
        <v>155.62</v>
      </c>
    </row>
    <row r="728" spans="1:13" x14ac:dyDescent="0.2">
      <c r="A728" s="1134" t="s">
        <v>282</v>
      </c>
      <c r="B728" s="957">
        <v>88247</v>
      </c>
      <c r="C728" s="1721" t="s">
        <v>1080</v>
      </c>
      <c r="D728" s="1722"/>
      <c r="E728" s="1722"/>
      <c r="F728" s="1722"/>
      <c r="G728" s="1722"/>
      <c r="H728" s="1722"/>
      <c r="I728" s="1723"/>
      <c r="J728" s="602" t="s">
        <v>217</v>
      </c>
      <c r="K728" s="668">
        <v>2.3380000000000001</v>
      </c>
      <c r="L728" s="1186">
        <v>17.75</v>
      </c>
      <c r="M728" s="1287">
        <f t="shared" si="34"/>
        <v>41.5</v>
      </c>
    </row>
    <row r="729" spans="1:13" x14ac:dyDescent="0.2">
      <c r="A729" s="1134" t="s">
        <v>282</v>
      </c>
      <c r="B729" s="957">
        <v>88264</v>
      </c>
      <c r="C729" s="1721" t="s">
        <v>1081</v>
      </c>
      <c r="D729" s="1722"/>
      <c r="E729" s="1722"/>
      <c r="F729" s="1722"/>
      <c r="G729" s="1722"/>
      <c r="H729" s="1722"/>
      <c r="I729" s="1723"/>
      <c r="J729" s="602" t="s">
        <v>217</v>
      </c>
      <c r="K729" s="668">
        <v>1.9139999999999999</v>
      </c>
      <c r="L729" s="1185">
        <v>21.52</v>
      </c>
      <c r="M729" s="1287">
        <f t="shared" si="34"/>
        <v>41.19</v>
      </c>
    </row>
    <row r="730" spans="1:13" x14ac:dyDescent="0.2">
      <c r="A730" s="600"/>
      <c r="B730" s="665"/>
      <c r="C730" s="1730" t="s">
        <v>1171</v>
      </c>
      <c r="D730" s="1725"/>
      <c r="E730" s="1725"/>
      <c r="F730" s="1725"/>
      <c r="G730" s="1725"/>
      <c r="H730" s="1725"/>
      <c r="I730" s="1725"/>
      <c r="J730" s="1731"/>
      <c r="K730" s="669"/>
      <c r="L730" s="915"/>
      <c r="M730" s="1154">
        <f>SUM(M726:M729)</f>
        <v>238.85</v>
      </c>
    </row>
    <row r="732" spans="1:13" x14ac:dyDescent="0.2">
      <c r="A732" s="669" t="s">
        <v>375</v>
      </c>
      <c r="B732" s="1730" t="s">
        <v>131</v>
      </c>
      <c r="C732" s="1725"/>
      <c r="D732" s="1725"/>
      <c r="E732" s="1725"/>
      <c r="F732" s="1725"/>
      <c r="G732" s="1725"/>
      <c r="H732" s="1725"/>
      <c r="I732" s="1725"/>
      <c r="J732" s="1725"/>
      <c r="K732" s="1725"/>
      <c r="L732" s="1725"/>
      <c r="M732" s="1731"/>
    </row>
    <row r="733" spans="1:13" ht="12.75" customHeight="1" x14ac:dyDescent="0.2">
      <c r="A733" s="291" t="str">
        <f>ORÇ!A397</f>
        <v>15.15</v>
      </c>
      <c r="B733" s="623"/>
      <c r="C733" s="1727" t="s">
        <v>1082</v>
      </c>
      <c r="D733" s="1728"/>
      <c r="E733" s="1728"/>
      <c r="F733" s="1728"/>
      <c r="G733" s="1728"/>
      <c r="H733" s="1728"/>
      <c r="I733" s="1728"/>
      <c r="J733" s="1728"/>
      <c r="K733" s="1729"/>
      <c r="L733" s="1147" t="s">
        <v>1173</v>
      </c>
      <c r="M733" s="1169" t="s">
        <v>96</v>
      </c>
    </row>
    <row r="734" spans="1:13" x14ac:dyDescent="0.2">
      <c r="A734" s="1724" t="s">
        <v>1177</v>
      </c>
      <c r="B734" s="1725"/>
      <c r="C734" s="1725"/>
      <c r="D734" s="1725"/>
      <c r="E734" s="1725"/>
      <c r="F734" s="1725"/>
      <c r="G734" s="1725"/>
      <c r="H734" s="1725"/>
      <c r="I734" s="1725"/>
      <c r="J734" s="1725"/>
      <c r="K734" s="1725"/>
      <c r="L734" s="1725"/>
      <c r="M734" s="1726"/>
    </row>
    <row r="735" spans="1:13" x14ac:dyDescent="0.2">
      <c r="A735" s="666" t="s">
        <v>281</v>
      </c>
      <c r="B735" s="667" t="s">
        <v>92</v>
      </c>
      <c r="C735" s="1145"/>
      <c r="D735" s="1145"/>
      <c r="E735" s="1145"/>
      <c r="F735" s="1145" t="s">
        <v>93</v>
      </c>
      <c r="G735" s="1145"/>
      <c r="H735" s="1145"/>
      <c r="I735" s="1146"/>
      <c r="J735" s="667" t="s">
        <v>94</v>
      </c>
      <c r="K735" s="667" t="s">
        <v>35</v>
      </c>
      <c r="L735" s="1157" t="s">
        <v>95</v>
      </c>
      <c r="M735" s="1147" t="s">
        <v>86</v>
      </c>
    </row>
    <row r="736" spans="1:13" x14ac:dyDescent="0.2">
      <c r="A736" s="1735" t="s">
        <v>620</v>
      </c>
      <c r="B736" s="1736"/>
      <c r="C736" s="1721" t="s">
        <v>1083</v>
      </c>
      <c r="D736" s="1722"/>
      <c r="E736" s="1722"/>
      <c r="F736" s="1722"/>
      <c r="G736" s="1722"/>
      <c r="H736" s="1722"/>
      <c r="I736" s="1723"/>
      <c r="J736" s="599" t="s">
        <v>1074</v>
      </c>
      <c r="K736" s="603">
        <v>1</v>
      </c>
      <c r="L736" s="1185">
        <v>340</v>
      </c>
      <c r="M736" s="1287">
        <f t="shared" ref="M736:M738" si="35">ROUND(L736*K736,2)</f>
        <v>340</v>
      </c>
    </row>
    <row r="737" spans="1:13" x14ac:dyDescent="0.2">
      <c r="A737" s="1134" t="s">
        <v>282</v>
      </c>
      <c r="B737" s="957">
        <v>88247</v>
      </c>
      <c r="C737" s="1721" t="s">
        <v>1080</v>
      </c>
      <c r="D737" s="1722"/>
      <c r="E737" s="1722"/>
      <c r="F737" s="1722"/>
      <c r="G737" s="1722"/>
      <c r="H737" s="1722"/>
      <c r="I737" s="1723"/>
      <c r="J737" s="602" t="s">
        <v>217</v>
      </c>
      <c r="K737" s="668">
        <v>3.367</v>
      </c>
      <c r="L737" s="1186">
        <v>17.75</v>
      </c>
      <c r="M737" s="1287">
        <f t="shared" si="35"/>
        <v>59.76</v>
      </c>
    </row>
    <row r="738" spans="1:13" x14ac:dyDescent="0.2">
      <c r="A738" s="1134" t="s">
        <v>282</v>
      </c>
      <c r="B738" s="957">
        <v>88264</v>
      </c>
      <c r="C738" s="1721" t="s">
        <v>1081</v>
      </c>
      <c r="D738" s="1722"/>
      <c r="E738" s="1722"/>
      <c r="F738" s="1722"/>
      <c r="G738" s="1722"/>
      <c r="H738" s="1722"/>
      <c r="I738" s="1723"/>
      <c r="J738" s="602" t="s">
        <v>217</v>
      </c>
      <c r="K738" s="668">
        <v>2.9460000000000002</v>
      </c>
      <c r="L738" s="1185">
        <v>21.52</v>
      </c>
      <c r="M738" s="1287">
        <f t="shared" si="35"/>
        <v>63.4</v>
      </c>
    </row>
    <row r="739" spans="1:13" x14ac:dyDescent="0.2">
      <c r="A739" s="600"/>
      <c r="B739" s="665"/>
      <c r="C739" s="1730" t="s">
        <v>1171</v>
      </c>
      <c r="D739" s="1725"/>
      <c r="E739" s="1725"/>
      <c r="F739" s="1725"/>
      <c r="G739" s="1725"/>
      <c r="H739" s="1725"/>
      <c r="I739" s="1725"/>
      <c r="J739" s="1731"/>
      <c r="K739" s="669"/>
      <c r="L739" s="915"/>
      <c r="M739" s="1154">
        <f>SUM(M736:M738)</f>
        <v>463.15999999999997</v>
      </c>
    </row>
    <row r="741" spans="1:13" x14ac:dyDescent="0.2">
      <c r="A741" s="669" t="s">
        <v>375</v>
      </c>
      <c r="B741" s="1730" t="s">
        <v>131</v>
      </c>
      <c r="C741" s="1725"/>
      <c r="D741" s="1725"/>
      <c r="E741" s="1725"/>
      <c r="F741" s="1725"/>
      <c r="G741" s="1725"/>
      <c r="H741" s="1725"/>
      <c r="I741" s="1725"/>
      <c r="J741" s="1725"/>
      <c r="K741" s="1725"/>
      <c r="L741" s="1725"/>
      <c r="M741" s="1731"/>
    </row>
    <row r="742" spans="1:13" ht="27.75" customHeight="1" x14ac:dyDescent="0.2">
      <c r="A742" s="291" t="str">
        <f>ORÇ!A398</f>
        <v>15.16</v>
      </c>
      <c r="B742" s="623"/>
      <c r="C742" s="1727" t="s">
        <v>1084</v>
      </c>
      <c r="D742" s="1728"/>
      <c r="E742" s="1728"/>
      <c r="F742" s="1728"/>
      <c r="G742" s="1728"/>
      <c r="H742" s="1728"/>
      <c r="I742" s="1728"/>
      <c r="J742" s="1728"/>
      <c r="K742" s="1729"/>
      <c r="L742" s="1147" t="s">
        <v>1173</v>
      </c>
      <c r="M742" s="1169" t="s">
        <v>96</v>
      </c>
    </row>
    <row r="743" spans="1:13" x14ac:dyDescent="0.2">
      <c r="A743" s="1724" t="s">
        <v>1725</v>
      </c>
      <c r="B743" s="1725"/>
      <c r="C743" s="1725"/>
      <c r="D743" s="1725"/>
      <c r="E743" s="1725"/>
      <c r="F743" s="1725"/>
      <c r="G743" s="1725"/>
      <c r="H743" s="1725"/>
      <c r="I743" s="1725"/>
      <c r="J743" s="1725"/>
      <c r="K743" s="1725"/>
      <c r="L743" s="1725"/>
      <c r="M743" s="1726"/>
    </row>
    <row r="744" spans="1:13" x14ac:dyDescent="0.2">
      <c r="A744" s="666" t="s">
        <v>281</v>
      </c>
      <c r="B744" s="667" t="s">
        <v>92</v>
      </c>
      <c r="C744" s="1145"/>
      <c r="D744" s="1145"/>
      <c r="E744" s="1145"/>
      <c r="F744" s="1145" t="s">
        <v>93</v>
      </c>
      <c r="G744" s="1145"/>
      <c r="H744" s="1145"/>
      <c r="I744" s="1146"/>
      <c r="J744" s="667" t="s">
        <v>94</v>
      </c>
      <c r="K744" s="667" t="s">
        <v>35</v>
      </c>
      <c r="L744" s="1157" t="s">
        <v>95</v>
      </c>
      <c r="M744" s="1147" t="s">
        <v>86</v>
      </c>
    </row>
    <row r="745" spans="1:13" x14ac:dyDescent="0.2">
      <c r="A745" s="1735" t="s">
        <v>620</v>
      </c>
      <c r="B745" s="1736"/>
      <c r="C745" s="1721" t="s">
        <v>1085</v>
      </c>
      <c r="D745" s="1722"/>
      <c r="E745" s="1722"/>
      <c r="F745" s="1722"/>
      <c r="G745" s="1722"/>
      <c r="H745" s="1722"/>
      <c r="I745" s="1723"/>
      <c r="J745" s="599" t="s">
        <v>1074</v>
      </c>
      <c r="K745" s="603">
        <v>1</v>
      </c>
      <c r="L745" s="1185">
        <v>68</v>
      </c>
      <c r="M745" s="1287">
        <f t="shared" ref="M745:M747" si="36">ROUND(L745*K745,2)</f>
        <v>68</v>
      </c>
    </row>
    <row r="746" spans="1:13" x14ac:dyDescent="0.2">
      <c r="A746" s="1134" t="s">
        <v>282</v>
      </c>
      <c r="B746" s="957">
        <v>88247</v>
      </c>
      <c r="C746" s="1721" t="s">
        <v>1080</v>
      </c>
      <c r="D746" s="1722"/>
      <c r="E746" s="1722"/>
      <c r="F746" s="1722"/>
      <c r="G746" s="1722"/>
      <c r="H746" s="1722"/>
      <c r="I746" s="1723"/>
      <c r="J746" s="602" t="s">
        <v>217</v>
      </c>
      <c r="K746" s="668">
        <v>0.61299999999999999</v>
      </c>
      <c r="L746" s="1186">
        <v>17.75</v>
      </c>
      <c r="M746" s="1287">
        <f t="shared" si="36"/>
        <v>10.88</v>
      </c>
    </row>
    <row r="747" spans="1:13" x14ac:dyDescent="0.2">
      <c r="A747" s="1134" t="s">
        <v>282</v>
      </c>
      <c r="B747" s="957">
        <v>88264</v>
      </c>
      <c r="C747" s="1721" t="s">
        <v>1081</v>
      </c>
      <c r="D747" s="1722"/>
      <c r="E747" s="1722"/>
      <c r="F747" s="1722"/>
      <c r="G747" s="1722"/>
      <c r="H747" s="1722"/>
      <c r="I747" s="1723"/>
      <c r="J747" s="602" t="s">
        <v>217</v>
      </c>
      <c r="K747" s="668">
        <v>0.61299999999999999</v>
      </c>
      <c r="L747" s="1185">
        <v>21.52</v>
      </c>
      <c r="M747" s="1287">
        <f t="shared" si="36"/>
        <v>13.19</v>
      </c>
    </row>
    <row r="748" spans="1:13" x14ac:dyDescent="0.2">
      <c r="A748" s="600"/>
      <c r="B748" s="665"/>
      <c r="C748" s="1730" t="s">
        <v>1171</v>
      </c>
      <c r="D748" s="1725"/>
      <c r="E748" s="1725"/>
      <c r="F748" s="1725"/>
      <c r="G748" s="1725"/>
      <c r="H748" s="1725"/>
      <c r="I748" s="1725"/>
      <c r="J748" s="1731"/>
      <c r="K748" s="669"/>
      <c r="L748" s="915"/>
      <c r="M748" s="1154">
        <f>SUM(M745:M747)</f>
        <v>92.07</v>
      </c>
    </row>
    <row r="750" spans="1:13" x14ac:dyDescent="0.2">
      <c r="A750" s="669" t="s">
        <v>375</v>
      </c>
      <c r="B750" s="1730" t="s">
        <v>131</v>
      </c>
      <c r="C750" s="1725"/>
      <c r="D750" s="1725"/>
      <c r="E750" s="1725"/>
      <c r="F750" s="1725"/>
      <c r="G750" s="1725"/>
      <c r="H750" s="1725"/>
      <c r="I750" s="1725"/>
      <c r="J750" s="1725"/>
      <c r="K750" s="1725"/>
      <c r="L750" s="1725"/>
      <c r="M750" s="1731"/>
    </row>
    <row r="751" spans="1:13" ht="33.75" customHeight="1" x14ac:dyDescent="0.2">
      <c r="A751" s="291" t="str">
        <f>ORÇ!A401</f>
        <v>15.19</v>
      </c>
      <c r="B751" s="623"/>
      <c r="C751" s="1727" t="s">
        <v>1086</v>
      </c>
      <c r="D751" s="1728"/>
      <c r="E751" s="1728"/>
      <c r="F751" s="1728"/>
      <c r="G751" s="1728"/>
      <c r="H751" s="1728"/>
      <c r="I751" s="1728"/>
      <c r="J751" s="1728"/>
      <c r="K751" s="1729"/>
      <c r="L751" s="1147" t="s">
        <v>1173</v>
      </c>
      <c r="M751" s="1169" t="s">
        <v>96</v>
      </c>
    </row>
    <row r="752" spans="1:13" x14ac:dyDescent="0.2">
      <c r="A752" s="1724" t="s">
        <v>1726</v>
      </c>
      <c r="B752" s="1725"/>
      <c r="C752" s="1725"/>
      <c r="D752" s="1725"/>
      <c r="E752" s="1725"/>
      <c r="F752" s="1725"/>
      <c r="G752" s="1725"/>
      <c r="H752" s="1725"/>
      <c r="I752" s="1725"/>
      <c r="J752" s="1725"/>
      <c r="K752" s="1725"/>
      <c r="L752" s="1725"/>
      <c r="M752" s="1726"/>
    </row>
    <row r="753" spans="1:13" x14ac:dyDescent="0.2">
      <c r="A753" s="666" t="s">
        <v>281</v>
      </c>
      <c r="B753" s="667" t="s">
        <v>92</v>
      </c>
      <c r="C753" s="1145"/>
      <c r="D753" s="1145"/>
      <c r="E753" s="1145"/>
      <c r="F753" s="1145" t="s">
        <v>93</v>
      </c>
      <c r="G753" s="1145"/>
      <c r="H753" s="1145"/>
      <c r="I753" s="1146"/>
      <c r="J753" s="667" t="s">
        <v>94</v>
      </c>
      <c r="K753" s="667" t="s">
        <v>35</v>
      </c>
      <c r="L753" s="1157" t="s">
        <v>95</v>
      </c>
      <c r="M753" s="1147" t="s">
        <v>86</v>
      </c>
    </row>
    <row r="754" spans="1:13" x14ac:dyDescent="0.2">
      <c r="A754" s="1735" t="s">
        <v>620</v>
      </c>
      <c r="B754" s="1736"/>
      <c r="C754" s="1721" t="s">
        <v>1087</v>
      </c>
      <c r="D754" s="1722"/>
      <c r="E754" s="1722"/>
      <c r="F754" s="1722"/>
      <c r="G754" s="1722"/>
      <c r="H754" s="1722"/>
      <c r="I754" s="1723"/>
      <c r="J754" s="599" t="s">
        <v>1074</v>
      </c>
      <c r="K754" s="668">
        <v>1</v>
      </c>
      <c r="L754" s="1185">
        <v>449.99</v>
      </c>
      <c r="M754" s="1288">
        <f t="shared" ref="M754:M756" si="37">ROUND(L754*K754,2)</f>
        <v>449.99</v>
      </c>
    </row>
    <row r="755" spans="1:13" ht="36" customHeight="1" x14ac:dyDescent="0.2">
      <c r="A755" s="1134" t="s">
        <v>282</v>
      </c>
      <c r="B755" s="957">
        <v>88248</v>
      </c>
      <c r="C755" s="1721" t="s">
        <v>1076</v>
      </c>
      <c r="D755" s="1722"/>
      <c r="E755" s="1722"/>
      <c r="F755" s="1722"/>
      <c r="G755" s="1722"/>
      <c r="H755" s="1722"/>
      <c r="I755" s="1723"/>
      <c r="J755" s="602" t="s">
        <v>217</v>
      </c>
      <c r="K755" s="668">
        <v>1.6839999999999999</v>
      </c>
      <c r="L755" s="1186">
        <v>16.989999999999998</v>
      </c>
      <c r="M755" s="1288">
        <f t="shared" si="37"/>
        <v>28.61</v>
      </c>
    </row>
    <row r="756" spans="1:13" ht="36" customHeight="1" x14ac:dyDescent="0.2">
      <c r="A756" s="1134" t="s">
        <v>282</v>
      </c>
      <c r="B756" s="957">
        <v>88267</v>
      </c>
      <c r="C756" s="1721" t="s">
        <v>1075</v>
      </c>
      <c r="D756" s="1722"/>
      <c r="E756" s="1722"/>
      <c r="F756" s="1722"/>
      <c r="G756" s="1722"/>
      <c r="H756" s="1722"/>
      <c r="I756" s="1723"/>
      <c r="J756" s="602" t="s">
        <v>217</v>
      </c>
      <c r="K756" s="668">
        <v>1.6839999999999999</v>
      </c>
      <c r="L756" s="1185">
        <v>20.7</v>
      </c>
      <c r="M756" s="1288">
        <f t="shared" si="37"/>
        <v>34.86</v>
      </c>
    </row>
    <row r="757" spans="1:13" x14ac:dyDescent="0.2">
      <c r="A757" s="600"/>
      <c r="B757" s="665"/>
      <c r="C757" s="1730" t="s">
        <v>1171</v>
      </c>
      <c r="D757" s="1725"/>
      <c r="E757" s="1725"/>
      <c r="F757" s="1725"/>
      <c r="G757" s="1725"/>
      <c r="H757" s="1725"/>
      <c r="I757" s="1725"/>
      <c r="J757" s="1731"/>
      <c r="K757" s="669"/>
      <c r="L757" s="915"/>
      <c r="M757" s="1289">
        <f>SUM(M754:M756)</f>
        <v>513.46</v>
      </c>
    </row>
    <row r="759" spans="1:13" x14ac:dyDescent="0.2">
      <c r="A759" s="669" t="s">
        <v>375</v>
      </c>
      <c r="B759" s="1730" t="s">
        <v>131</v>
      </c>
      <c r="C759" s="1725"/>
      <c r="D759" s="1725"/>
      <c r="E759" s="1725"/>
      <c r="F759" s="1725"/>
      <c r="G759" s="1725"/>
      <c r="H759" s="1725"/>
      <c r="I759" s="1725"/>
      <c r="J759" s="1725"/>
      <c r="K759" s="1725"/>
      <c r="L759" s="1725"/>
      <c r="M759" s="1731"/>
    </row>
    <row r="760" spans="1:13" ht="12.75" customHeight="1" x14ac:dyDescent="0.2">
      <c r="A760" s="291" t="str">
        <f>ORÇ!A402</f>
        <v>15.20</v>
      </c>
      <c r="B760" s="623"/>
      <c r="C760" s="1727" t="s">
        <v>1088</v>
      </c>
      <c r="D760" s="1728"/>
      <c r="E760" s="1728"/>
      <c r="F760" s="1728"/>
      <c r="G760" s="1728"/>
      <c r="H760" s="1728"/>
      <c r="I760" s="1728"/>
      <c r="J760" s="1728"/>
      <c r="K760" s="1729"/>
      <c r="L760" s="1147" t="s">
        <v>1173</v>
      </c>
      <c r="M760" s="1169" t="s">
        <v>96</v>
      </c>
    </row>
    <row r="761" spans="1:13" x14ac:dyDescent="0.2">
      <c r="A761" s="1724" t="s">
        <v>1727</v>
      </c>
      <c r="B761" s="1725"/>
      <c r="C761" s="1725"/>
      <c r="D761" s="1725"/>
      <c r="E761" s="1725"/>
      <c r="F761" s="1725"/>
      <c r="G761" s="1725"/>
      <c r="H761" s="1725"/>
      <c r="I761" s="1725"/>
      <c r="J761" s="1725"/>
      <c r="K761" s="1725"/>
      <c r="L761" s="1725"/>
      <c r="M761" s="1726"/>
    </row>
    <row r="762" spans="1:13" x14ac:dyDescent="0.2">
      <c r="A762" s="666" t="s">
        <v>281</v>
      </c>
      <c r="B762" s="667" t="s">
        <v>92</v>
      </c>
      <c r="C762" s="1145"/>
      <c r="D762" s="1145"/>
      <c r="E762" s="1145"/>
      <c r="F762" s="1145" t="s">
        <v>93</v>
      </c>
      <c r="G762" s="1145"/>
      <c r="H762" s="1145"/>
      <c r="I762" s="1146"/>
      <c r="J762" s="667" t="s">
        <v>94</v>
      </c>
      <c r="K762" s="667" t="s">
        <v>35</v>
      </c>
      <c r="L762" s="1157" t="s">
        <v>95</v>
      </c>
      <c r="M762" s="1147" t="s">
        <v>86</v>
      </c>
    </row>
    <row r="763" spans="1:13" ht="31.5" customHeight="1" x14ac:dyDescent="0.2">
      <c r="A763" s="1134" t="s">
        <v>445</v>
      </c>
      <c r="B763" s="957">
        <v>12435</v>
      </c>
      <c r="C763" s="1721" t="s">
        <v>1089</v>
      </c>
      <c r="D763" s="1722"/>
      <c r="E763" s="1722"/>
      <c r="F763" s="1722"/>
      <c r="G763" s="1722"/>
      <c r="H763" s="1722"/>
      <c r="I763" s="1723"/>
      <c r="J763" s="599" t="s">
        <v>1074</v>
      </c>
      <c r="K763" s="603">
        <v>1</v>
      </c>
      <c r="L763" s="1185">
        <v>321.51</v>
      </c>
      <c r="M763" s="1288">
        <f t="shared" ref="M763:M767" si="38">ROUND(L763*K763,2)</f>
        <v>321.51</v>
      </c>
    </row>
    <row r="764" spans="1:13" x14ac:dyDescent="0.2">
      <c r="A764" s="1134" t="s">
        <v>445</v>
      </c>
      <c r="B764" s="957">
        <v>3148</v>
      </c>
      <c r="C764" s="1721" t="s">
        <v>1090</v>
      </c>
      <c r="D764" s="1722"/>
      <c r="E764" s="1722"/>
      <c r="F764" s="1722"/>
      <c r="G764" s="1722"/>
      <c r="H764" s="1722"/>
      <c r="I764" s="1723"/>
      <c r="J764" s="599" t="s">
        <v>1074</v>
      </c>
      <c r="K764" s="668">
        <v>0.03</v>
      </c>
      <c r="L764" s="1185">
        <v>13.27</v>
      </c>
      <c r="M764" s="1288">
        <f t="shared" si="38"/>
        <v>0.4</v>
      </c>
    </row>
    <row r="765" spans="1:13" x14ac:dyDescent="0.2">
      <c r="A765" s="1134" t="s">
        <v>445</v>
      </c>
      <c r="B765" s="957">
        <v>7307</v>
      </c>
      <c r="C765" s="1721" t="s">
        <v>1091</v>
      </c>
      <c r="D765" s="1722"/>
      <c r="E765" s="1722"/>
      <c r="F765" s="1722"/>
      <c r="G765" s="1722"/>
      <c r="H765" s="1722"/>
      <c r="I765" s="1723"/>
      <c r="J765" s="599" t="s">
        <v>590</v>
      </c>
      <c r="K765" s="668">
        <v>7.0000000000000001E-3</v>
      </c>
      <c r="L765" s="1185">
        <v>29.96</v>
      </c>
      <c r="M765" s="1288">
        <f t="shared" si="38"/>
        <v>0.21</v>
      </c>
    </row>
    <row r="766" spans="1:13" ht="30" customHeight="1" x14ac:dyDescent="0.2">
      <c r="A766" s="1134" t="s">
        <v>282</v>
      </c>
      <c r="B766" s="957">
        <v>88248</v>
      </c>
      <c r="C766" s="1721" t="s">
        <v>1076</v>
      </c>
      <c r="D766" s="1722"/>
      <c r="E766" s="1722"/>
      <c r="F766" s="1722"/>
      <c r="G766" s="1722"/>
      <c r="H766" s="1722"/>
      <c r="I766" s="1723"/>
      <c r="J766" s="602" t="s">
        <v>217</v>
      </c>
      <c r="K766" s="668">
        <v>0.73599999999999999</v>
      </c>
      <c r="L766" s="1186">
        <v>16.989999999999998</v>
      </c>
      <c r="M766" s="1288">
        <f t="shared" si="38"/>
        <v>12.5</v>
      </c>
    </row>
    <row r="767" spans="1:13" ht="30.75" customHeight="1" x14ac:dyDescent="0.2">
      <c r="A767" s="1134" t="s">
        <v>282</v>
      </c>
      <c r="B767" s="957">
        <v>88267</v>
      </c>
      <c r="C767" s="1721" t="s">
        <v>1075</v>
      </c>
      <c r="D767" s="1722"/>
      <c r="E767" s="1722"/>
      <c r="F767" s="1722"/>
      <c r="G767" s="1722"/>
      <c r="H767" s="1722"/>
      <c r="I767" s="1723"/>
      <c r="J767" s="602" t="s">
        <v>217</v>
      </c>
      <c r="K767" s="668">
        <v>0.73599999999999999</v>
      </c>
      <c r="L767" s="1185">
        <v>20.7</v>
      </c>
      <c r="M767" s="1288">
        <f t="shared" si="38"/>
        <v>15.24</v>
      </c>
    </row>
    <row r="768" spans="1:13" x14ac:dyDescent="0.2">
      <c r="A768" s="600"/>
      <c r="B768" s="665"/>
      <c r="C768" s="1730" t="s">
        <v>1171</v>
      </c>
      <c r="D768" s="1725"/>
      <c r="E768" s="1725"/>
      <c r="F768" s="1725"/>
      <c r="G768" s="1725"/>
      <c r="H768" s="1725"/>
      <c r="I768" s="1725"/>
      <c r="J768" s="1731"/>
      <c r="K768" s="669"/>
      <c r="L768" s="915"/>
      <c r="M768" s="1154">
        <f>SUM(M763:M767)</f>
        <v>349.85999999999996</v>
      </c>
    </row>
    <row r="770" spans="1:13" x14ac:dyDescent="0.2">
      <c r="A770" s="669" t="s">
        <v>375</v>
      </c>
      <c r="B770" s="1730" t="s">
        <v>131</v>
      </c>
      <c r="C770" s="1725"/>
      <c r="D770" s="1725"/>
      <c r="E770" s="1725"/>
      <c r="F770" s="1725"/>
      <c r="G770" s="1725"/>
      <c r="H770" s="1725"/>
      <c r="I770" s="1725"/>
      <c r="J770" s="1725"/>
      <c r="K770" s="1725"/>
      <c r="L770" s="1725"/>
      <c r="M770" s="1731"/>
    </row>
    <row r="771" spans="1:13" ht="12.75" customHeight="1" x14ac:dyDescent="0.2">
      <c r="A771" s="291" t="str">
        <f>ORÇ!A403</f>
        <v>15.21</v>
      </c>
      <c r="B771" s="623"/>
      <c r="C771" s="1727" t="s">
        <v>1092</v>
      </c>
      <c r="D771" s="1728"/>
      <c r="E771" s="1728"/>
      <c r="F771" s="1728"/>
      <c r="G771" s="1728"/>
      <c r="H771" s="1728"/>
      <c r="I771" s="1728"/>
      <c r="J771" s="1728"/>
      <c r="K771" s="1729"/>
      <c r="L771" s="1147" t="s">
        <v>1173</v>
      </c>
      <c r="M771" s="1169" t="s">
        <v>96</v>
      </c>
    </row>
    <row r="772" spans="1:13" x14ac:dyDescent="0.2">
      <c r="A772" s="1724" t="s">
        <v>1728</v>
      </c>
      <c r="B772" s="1725"/>
      <c r="C772" s="1725"/>
      <c r="D772" s="1725"/>
      <c r="E772" s="1725"/>
      <c r="F772" s="1725"/>
      <c r="G772" s="1725"/>
      <c r="H772" s="1725"/>
      <c r="I772" s="1725"/>
      <c r="J772" s="1725"/>
      <c r="K772" s="1725"/>
      <c r="L772" s="1725"/>
      <c r="M772" s="1726"/>
    </row>
    <row r="773" spans="1:13" x14ac:dyDescent="0.2">
      <c r="A773" s="666" t="s">
        <v>281</v>
      </c>
      <c r="B773" s="667" t="s">
        <v>92</v>
      </c>
      <c r="C773" s="1145"/>
      <c r="D773" s="1145"/>
      <c r="E773" s="1145"/>
      <c r="F773" s="1145" t="s">
        <v>93</v>
      </c>
      <c r="G773" s="1145"/>
      <c r="H773" s="1145"/>
      <c r="I773" s="1146"/>
      <c r="J773" s="667" t="s">
        <v>94</v>
      </c>
      <c r="K773" s="667" t="s">
        <v>35</v>
      </c>
      <c r="L773" s="1157" t="s">
        <v>95</v>
      </c>
      <c r="M773" s="1147" t="s">
        <v>86</v>
      </c>
    </row>
    <row r="774" spans="1:13" ht="26.25" customHeight="1" x14ac:dyDescent="0.2">
      <c r="A774" s="1134" t="s">
        <v>445</v>
      </c>
      <c r="B774" s="957">
        <v>12438</v>
      </c>
      <c r="C774" s="1721" t="s">
        <v>1093</v>
      </c>
      <c r="D774" s="1722"/>
      <c r="E774" s="1722"/>
      <c r="F774" s="1722"/>
      <c r="G774" s="1722"/>
      <c r="H774" s="1722"/>
      <c r="I774" s="1723"/>
      <c r="J774" s="599" t="s">
        <v>1074</v>
      </c>
      <c r="K774" s="603">
        <v>1</v>
      </c>
      <c r="L774" s="1185">
        <v>469.91</v>
      </c>
      <c r="M774" s="1288">
        <f t="shared" ref="M774:M778" si="39">ROUND(L774*K774,2)</f>
        <v>469.91</v>
      </c>
    </row>
    <row r="775" spans="1:13" x14ac:dyDescent="0.2">
      <c r="A775" s="1134" t="s">
        <v>445</v>
      </c>
      <c r="B775" s="957">
        <v>3148</v>
      </c>
      <c r="C775" s="1721" t="s">
        <v>1090</v>
      </c>
      <c r="D775" s="1722"/>
      <c r="E775" s="1722"/>
      <c r="F775" s="1722"/>
      <c r="G775" s="1722"/>
      <c r="H775" s="1722"/>
      <c r="I775" s="1723"/>
      <c r="J775" s="599" t="s">
        <v>1074</v>
      </c>
      <c r="K775" s="668">
        <v>0.03</v>
      </c>
      <c r="L775" s="1185">
        <v>13.27</v>
      </c>
      <c r="M775" s="1288">
        <f t="shared" si="39"/>
        <v>0.4</v>
      </c>
    </row>
    <row r="776" spans="1:13" x14ac:dyDescent="0.2">
      <c r="A776" s="1134" t="s">
        <v>445</v>
      </c>
      <c r="B776" s="957">
        <v>7307</v>
      </c>
      <c r="C776" s="1721" t="s">
        <v>1091</v>
      </c>
      <c r="D776" s="1722"/>
      <c r="E776" s="1722"/>
      <c r="F776" s="1722"/>
      <c r="G776" s="1722"/>
      <c r="H776" s="1722"/>
      <c r="I776" s="1723"/>
      <c r="J776" s="599" t="s">
        <v>590</v>
      </c>
      <c r="K776" s="668">
        <v>7.0000000000000001E-3</v>
      </c>
      <c r="L776" s="1185">
        <v>29.96</v>
      </c>
      <c r="M776" s="1288">
        <f t="shared" si="39"/>
        <v>0.21</v>
      </c>
    </row>
    <row r="777" spans="1:13" ht="28.5" customHeight="1" x14ac:dyDescent="0.2">
      <c r="A777" s="1134" t="s">
        <v>282</v>
      </c>
      <c r="B777" s="957">
        <v>88248</v>
      </c>
      <c r="C777" s="1721" t="s">
        <v>1076</v>
      </c>
      <c r="D777" s="1722"/>
      <c r="E777" s="1722"/>
      <c r="F777" s="1722"/>
      <c r="G777" s="1722"/>
      <c r="H777" s="1722"/>
      <c r="I777" s="1723"/>
      <c r="J777" s="602" t="s">
        <v>217</v>
      </c>
      <c r="K777" s="668">
        <v>0.73599999999999999</v>
      </c>
      <c r="L777" s="1186">
        <v>16.989999999999998</v>
      </c>
      <c r="M777" s="1288">
        <f t="shared" si="39"/>
        <v>12.5</v>
      </c>
    </row>
    <row r="778" spans="1:13" ht="28.5" customHeight="1" x14ac:dyDescent="0.2">
      <c r="A778" s="1134" t="s">
        <v>282</v>
      </c>
      <c r="B778" s="957">
        <v>88267</v>
      </c>
      <c r="C778" s="1721" t="s">
        <v>1075</v>
      </c>
      <c r="D778" s="1722"/>
      <c r="E778" s="1722"/>
      <c r="F778" s="1722"/>
      <c r="G778" s="1722"/>
      <c r="H778" s="1722"/>
      <c r="I778" s="1723"/>
      <c r="J778" s="602" t="s">
        <v>217</v>
      </c>
      <c r="K778" s="668">
        <v>0.73599999999999999</v>
      </c>
      <c r="L778" s="1185">
        <v>20.7</v>
      </c>
      <c r="M778" s="1288">
        <f t="shared" si="39"/>
        <v>15.24</v>
      </c>
    </row>
    <row r="779" spans="1:13" x14ac:dyDescent="0.2">
      <c r="A779" s="600"/>
      <c r="B779" s="665"/>
      <c r="C779" s="1730" t="s">
        <v>1171</v>
      </c>
      <c r="D779" s="1725"/>
      <c r="E779" s="1725"/>
      <c r="F779" s="1725"/>
      <c r="G779" s="1725"/>
      <c r="H779" s="1725"/>
      <c r="I779" s="1725"/>
      <c r="J779" s="1731"/>
      <c r="K779" s="669"/>
      <c r="L779" s="915"/>
      <c r="M779" s="1289">
        <f>SUM(M774:M778)</f>
        <v>498.26</v>
      </c>
    </row>
    <row r="781" spans="1:13" x14ac:dyDescent="0.2">
      <c r="A781" s="669" t="s">
        <v>375</v>
      </c>
      <c r="B781" s="1730" t="s">
        <v>131</v>
      </c>
      <c r="C781" s="1725"/>
      <c r="D781" s="1725"/>
      <c r="E781" s="1725"/>
      <c r="F781" s="1725"/>
      <c r="G781" s="1725"/>
      <c r="H781" s="1725"/>
      <c r="I781" s="1725"/>
      <c r="J781" s="1725"/>
      <c r="K781" s="1725"/>
      <c r="L781" s="1725"/>
      <c r="M781" s="1731"/>
    </row>
    <row r="782" spans="1:13" ht="37.5" customHeight="1" x14ac:dyDescent="0.2">
      <c r="A782" s="291" t="str">
        <f>ORÇ!A404</f>
        <v>15.22</v>
      </c>
      <c r="B782" s="623"/>
      <c r="C782" s="1727" t="s">
        <v>1094</v>
      </c>
      <c r="D782" s="1728"/>
      <c r="E782" s="1728"/>
      <c r="F782" s="1728"/>
      <c r="G782" s="1728"/>
      <c r="H782" s="1728"/>
      <c r="I782" s="1728"/>
      <c r="J782" s="1728"/>
      <c r="K782" s="1729"/>
      <c r="L782" s="1147" t="s">
        <v>1173</v>
      </c>
      <c r="M782" s="1169" t="s">
        <v>96</v>
      </c>
    </row>
    <row r="783" spans="1:13" x14ac:dyDescent="0.2">
      <c r="A783" s="1724" t="s">
        <v>1267</v>
      </c>
      <c r="B783" s="1725"/>
      <c r="C783" s="1725"/>
      <c r="D783" s="1725"/>
      <c r="E783" s="1725"/>
      <c r="F783" s="1725"/>
      <c r="G783" s="1725"/>
      <c r="H783" s="1725"/>
      <c r="I783" s="1725"/>
      <c r="J783" s="1725"/>
      <c r="K783" s="1725"/>
      <c r="L783" s="1725"/>
      <c r="M783" s="1726"/>
    </row>
    <row r="784" spans="1:13" x14ac:dyDescent="0.2">
      <c r="A784" s="666" t="s">
        <v>281</v>
      </c>
      <c r="B784" s="667" t="s">
        <v>92</v>
      </c>
      <c r="C784" s="1145"/>
      <c r="D784" s="1145"/>
      <c r="E784" s="1145"/>
      <c r="F784" s="1145" t="s">
        <v>93</v>
      </c>
      <c r="G784" s="1145"/>
      <c r="H784" s="1145"/>
      <c r="I784" s="1146"/>
      <c r="J784" s="667" t="s">
        <v>94</v>
      </c>
      <c r="K784" s="667" t="s">
        <v>35</v>
      </c>
      <c r="L784" s="1157" t="s">
        <v>95</v>
      </c>
      <c r="M784" s="1147" t="s">
        <v>86</v>
      </c>
    </row>
    <row r="785" spans="1:13" ht="33.75" customHeight="1" x14ac:dyDescent="0.2">
      <c r="A785" s="1134" t="s">
        <v>445</v>
      </c>
      <c r="B785" s="957">
        <v>6314</v>
      </c>
      <c r="C785" s="1721" t="s">
        <v>1095</v>
      </c>
      <c r="D785" s="1722"/>
      <c r="E785" s="1722"/>
      <c r="F785" s="1722"/>
      <c r="G785" s="1722"/>
      <c r="H785" s="1722"/>
      <c r="I785" s="1723"/>
      <c r="J785" s="599" t="s">
        <v>1074</v>
      </c>
      <c r="K785" s="603">
        <v>1</v>
      </c>
      <c r="L785" s="1185">
        <v>218.03</v>
      </c>
      <c r="M785" s="1288">
        <f t="shared" ref="M785:M789" si="40">ROUND(L785*K785,2)</f>
        <v>218.03</v>
      </c>
    </row>
    <row r="786" spans="1:13" ht="33.75" customHeight="1" x14ac:dyDescent="0.2">
      <c r="A786" s="1134" t="s">
        <v>445</v>
      </c>
      <c r="B786" s="957">
        <v>3148</v>
      </c>
      <c r="C786" s="1721" t="s">
        <v>1090</v>
      </c>
      <c r="D786" s="1722"/>
      <c r="E786" s="1722"/>
      <c r="F786" s="1722"/>
      <c r="G786" s="1722"/>
      <c r="H786" s="1722"/>
      <c r="I786" s="1723"/>
      <c r="J786" s="599" t="s">
        <v>1074</v>
      </c>
      <c r="K786" s="668">
        <v>0.03</v>
      </c>
      <c r="L786" s="1185">
        <v>13.27</v>
      </c>
      <c r="M786" s="1288">
        <f t="shared" si="40"/>
        <v>0.4</v>
      </c>
    </row>
    <row r="787" spans="1:13" ht="33.75" customHeight="1" x14ac:dyDescent="0.2">
      <c r="A787" s="1134" t="s">
        <v>445</v>
      </c>
      <c r="B787" s="957">
        <v>7307</v>
      </c>
      <c r="C787" s="1721" t="s">
        <v>1091</v>
      </c>
      <c r="D787" s="1722"/>
      <c r="E787" s="1722"/>
      <c r="F787" s="1722"/>
      <c r="G787" s="1722"/>
      <c r="H787" s="1722"/>
      <c r="I787" s="1723"/>
      <c r="J787" s="599" t="s">
        <v>590</v>
      </c>
      <c r="K787" s="668">
        <v>7.0000000000000001E-3</v>
      </c>
      <c r="L787" s="1185">
        <v>29.96</v>
      </c>
      <c r="M787" s="1288">
        <f t="shared" si="40"/>
        <v>0.21</v>
      </c>
    </row>
    <row r="788" spans="1:13" ht="33.75" customHeight="1" x14ac:dyDescent="0.2">
      <c r="A788" s="1134" t="s">
        <v>282</v>
      </c>
      <c r="B788" s="957">
        <v>88248</v>
      </c>
      <c r="C788" s="1721" t="s">
        <v>1076</v>
      </c>
      <c r="D788" s="1722"/>
      <c r="E788" s="1722"/>
      <c r="F788" s="1722"/>
      <c r="G788" s="1722"/>
      <c r="H788" s="1722"/>
      <c r="I788" s="1723"/>
      <c r="J788" s="602" t="s">
        <v>217</v>
      </c>
      <c r="K788" s="668">
        <v>0.73599999999999999</v>
      </c>
      <c r="L788" s="1186">
        <v>16.989999999999998</v>
      </c>
      <c r="M788" s="1288">
        <f t="shared" si="40"/>
        <v>12.5</v>
      </c>
    </row>
    <row r="789" spans="1:13" ht="33.75" customHeight="1" x14ac:dyDescent="0.2">
      <c r="A789" s="1134" t="s">
        <v>282</v>
      </c>
      <c r="B789" s="957">
        <v>88267</v>
      </c>
      <c r="C789" s="1721" t="s">
        <v>1075</v>
      </c>
      <c r="D789" s="1722"/>
      <c r="E789" s="1722"/>
      <c r="F789" s="1722"/>
      <c r="G789" s="1722"/>
      <c r="H789" s="1722"/>
      <c r="I789" s="1723"/>
      <c r="J789" s="602" t="s">
        <v>217</v>
      </c>
      <c r="K789" s="668">
        <v>0.73599999999999999</v>
      </c>
      <c r="L789" s="1185">
        <v>20.7</v>
      </c>
      <c r="M789" s="1288">
        <f t="shared" si="40"/>
        <v>15.24</v>
      </c>
    </row>
    <row r="790" spans="1:13" x14ac:dyDescent="0.2">
      <c r="A790" s="600"/>
      <c r="B790" s="665"/>
      <c r="C790" s="1730" t="s">
        <v>1171</v>
      </c>
      <c r="D790" s="1725"/>
      <c r="E790" s="1725"/>
      <c r="F790" s="1725"/>
      <c r="G790" s="1725"/>
      <c r="H790" s="1725"/>
      <c r="I790" s="1725"/>
      <c r="J790" s="1731"/>
      <c r="K790" s="669"/>
      <c r="L790" s="915"/>
      <c r="M790" s="1289">
        <f>SUM(M785:M789)</f>
        <v>246.38000000000002</v>
      </c>
    </row>
    <row r="792" spans="1:13" x14ac:dyDescent="0.2">
      <c r="A792" s="664" t="s">
        <v>375</v>
      </c>
      <c r="B792" s="1730" t="s">
        <v>131</v>
      </c>
      <c r="C792" s="1725"/>
      <c r="D792" s="1725"/>
      <c r="E792" s="1725"/>
      <c r="F792" s="1725"/>
      <c r="G792" s="1725"/>
      <c r="H792" s="1725"/>
      <c r="I792" s="1725"/>
      <c r="J792" s="1725"/>
      <c r="K792" s="1725"/>
      <c r="L792" s="1725"/>
      <c r="M792" s="1731"/>
    </row>
    <row r="793" spans="1:13" ht="48.75" customHeight="1" x14ac:dyDescent="0.2">
      <c r="A793" s="291" t="str">
        <f>ORÇ!A441</f>
        <v>17.3</v>
      </c>
      <c r="B793" s="623"/>
      <c r="C793" s="1727" t="s">
        <v>1140</v>
      </c>
      <c r="D793" s="1728"/>
      <c r="E793" s="1728"/>
      <c r="F793" s="1728"/>
      <c r="G793" s="1728"/>
      <c r="H793" s="1728"/>
      <c r="I793" s="1728"/>
      <c r="J793" s="1728"/>
      <c r="K793" s="1729"/>
      <c r="L793" s="1147" t="s">
        <v>1173</v>
      </c>
      <c r="M793" s="1169" t="s">
        <v>17</v>
      </c>
    </row>
    <row r="794" spans="1:13" x14ac:dyDescent="0.2">
      <c r="A794" s="1724" t="s">
        <v>1729</v>
      </c>
      <c r="B794" s="1725"/>
      <c r="C794" s="1725"/>
      <c r="D794" s="1725"/>
      <c r="E794" s="1725"/>
      <c r="F794" s="1725"/>
      <c r="G794" s="1725"/>
      <c r="H794" s="1725"/>
      <c r="I794" s="1725"/>
      <c r="J794" s="1725"/>
      <c r="K794" s="1725"/>
      <c r="L794" s="1725"/>
      <c r="M794" s="1726"/>
    </row>
    <row r="795" spans="1:13" x14ac:dyDescent="0.2">
      <c r="A795" s="667" t="s">
        <v>281</v>
      </c>
      <c r="B795" s="667" t="s">
        <v>92</v>
      </c>
      <c r="C795" s="1738" t="s">
        <v>93</v>
      </c>
      <c r="D795" s="1739"/>
      <c r="E795" s="1739"/>
      <c r="F795" s="1739"/>
      <c r="G795" s="1739"/>
      <c r="H795" s="1739"/>
      <c r="I795" s="1740"/>
      <c r="J795" s="667" t="s">
        <v>94</v>
      </c>
      <c r="K795" s="667" t="s">
        <v>35</v>
      </c>
      <c r="L795" s="1157" t="s">
        <v>95</v>
      </c>
      <c r="M795" s="1147" t="s">
        <v>86</v>
      </c>
    </row>
    <row r="796" spans="1:13" ht="40.5" customHeight="1" x14ac:dyDescent="0.2">
      <c r="A796" s="58" t="s">
        <v>445</v>
      </c>
      <c r="B796" s="58">
        <v>4948</v>
      </c>
      <c r="C796" s="1744" t="s">
        <v>1138</v>
      </c>
      <c r="D796" s="1745"/>
      <c r="E796" s="1745"/>
      <c r="F796" s="1745"/>
      <c r="G796" s="1745"/>
      <c r="H796" s="1745"/>
      <c r="I796" s="1746"/>
      <c r="J796" s="58" t="s">
        <v>252</v>
      </c>
      <c r="K796" s="1115">
        <v>1</v>
      </c>
      <c r="L796" s="1284">
        <v>540.16999999999996</v>
      </c>
      <c r="M796" s="614">
        <f t="shared" ref="M796:M800" si="41">ROUND(L796*K796,2)</f>
        <v>540.16999999999996</v>
      </c>
    </row>
    <row r="797" spans="1:13" ht="31.5" customHeight="1" x14ac:dyDescent="0.2">
      <c r="A797" s="58" t="s">
        <v>282</v>
      </c>
      <c r="B797" s="58">
        <v>88309</v>
      </c>
      <c r="C797" s="1744" t="s">
        <v>374</v>
      </c>
      <c r="D797" s="1745"/>
      <c r="E797" s="1745"/>
      <c r="F797" s="1745"/>
      <c r="G797" s="1745"/>
      <c r="H797" s="1745"/>
      <c r="I797" s="1746"/>
      <c r="J797" s="58" t="s">
        <v>217</v>
      </c>
      <c r="K797" s="1115">
        <v>1</v>
      </c>
      <c r="L797" s="1284">
        <v>21.31</v>
      </c>
      <c r="M797" s="614">
        <f t="shared" si="41"/>
        <v>21.31</v>
      </c>
    </row>
    <row r="798" spans="1:13" ht="31.5" customHeight="1" x14ac:dyDescent="0.2">
      <c r="A798" s="629" t="s">
        <v>282</v>
      </c>
      <c r="B798" s="58">
        <v>88316</v>
      </c>
      <c r="C798" s="1119" t="s">
        <v>99</v>
      </c>
      <c r="D798" s="1117"/>
      <c r="E798" s="1117"/>
      <c r="F798" s="1117"/>
      <c r="G798" s="1117"/>
      <c r="H798" s="1117"/>
      <c r="I798" s="1118"/>
      <c r="J798" s="599" t="s">
        <v>217</v>
      </c>
      <c r="K798" s="1115">
        <v>1.5</v>
      </c>
      <c r="L798" s="1290">
        <v>17.09</v>
      </c>
      <c r="M798" s="614">
        <f t="shared" si="41"/>
        <v>25.64</v>
      </c>
    </row>
    <row r="799" spans="1:13" ht="51.75" customHeight="1" x14ac:dyDescent="0.2">
      <c r="A799" s="629" t="s">
        <v>282</v>
      </c>
      <c r="B799" s="58">
        <v>100722</v>
      </c>
      <c r="C799" s="1772" t="s">
        <v>818</v>
      </c>
      <c r="D799" s="1772"/>
      <c r="E799" s="1772"/>
      <c r="F799" s="1772"/>
      <c r="G799" s="1772"/>
      <c r="H799" s="1772"/>
      <c r="I799" s="1772"/>
      <c r="J799" s="401" t="s">
        <v>252</v>
      </c>
      <c r="K799" s="1115">
        <f>K796</f>
        <v>1</v>
      </c>
      <c r="L799" s="1290">
        <v>18.649999999999999</v>
      </c>
      <c r="M799" s="614">
        <f t="shared" si="41"/>
        <v>18.649999999999999</v>
      </c>
    </row>
    <row r="800" spans="1:13" ht="63" customHeight="1" x14ac:dyDescent="0.2">
      <c r="A800" s="615" t="s">
        <v>282</v>
      </c>
      <c r="B800" s="58">
        <v>100758</v>
      </c>
      <c r="C800" s="1772" t="s">
        <v>523</v>
      </c>
      <c r="D800" s="1772"/>
      <c r="E800" s="1772"/>
      <c r="F800" s="1772"/>
      <c r="G800" s="1772"/>
      <c r="H800" s="1772"/>
      <c r="I800" s="1772"/>
      <c r="J800" s="401" t="s">
        <v>252</v>
      </c>
      <c r="K800" s="402">
        <f>K796</f>
        <v>1</v>
      </c>
      <c r="L800" s="1183">
        <v>38.119999999999997</v>
      </c>
      <c r="M800" s="693">
        <f t="shared" si="41"/>
        <v>38.119999999999997</v>
      </c>
    </row>
    <row r="801" spans="1:20" x14ac:dyDescent="0.2">
      <c r="A801" s="292"/>
      <c r="B801" s="1131"/>
      <c r="C801" s="1730" t="s">
        <v>1171</v>
      </c>
      <c r="D801" s="1725"/>
      <c r="E801" s="1725"/>
      <c r="F801" s="1725"/>
      <c r="G801" s="1725"/>
      <c r="H801" s="1725"/>
      <c r="I801" s="1725"/>
      <c r="J801" s="1731"/>
      <c r="K801" s="669"/>
      <c r="L801" s="1159"/>
      <c r="M801" s="1154">
        <f>SUM(M796:M800)</f>
        <v>643.88999999999987</v>
      </c>
    </row>
    <row r="803" spans="1:20" x14ac:dyDescent="0.2">
      <c r="A803" s="664" t="s">
        <v>375</v>
      </c>
      <c r="B803" s="1730" t="s">
        <v>131</v>
      </c>
      <c r="C803" s="1725"/>
      <c r="D803" s="1725"/>
      <c r="E803" s="1725"/>
      <c r="F803" s="1725"/>
      <c r="G803" s="1725"/>
      <c r="H803" s="1725"/>
      <c r="I803" s="1725"/>
      <c r="J803" s="1725"/>
      <c r="K803" s="1725"/>
      <c r="L803" s="1725"/>
      <c r="M803" s="1731"/>
      <c r="Q803" s="38" t="s">
        <v>219</v>
      </c>
      <c r="R803" s="827">
        <f>SUM(R800:R800)</f>
        <v>0</v>
      </c>
    </row>
    <row r="804" spans="1:20" ht="62.25" customHeight="1" x14ac:dyDescent="0.2">
      <c r="A804" s="291" t="str">
        <f>ORÇ!A479</f>
        <v>20.3</v>
      </c>
      <c r="B804" s="623"/>
      <c r="C804" s="1727" t="s">
        <v>1400</v>
      </c>
      <c r="D804" s="1728"/>
      <c r="E804" s="1728"/>
      <c r="F804" s="1728"/>
      <c r="G804" s="1728"/>
      <c r="H804" s="1728"/>
      <c r="I804" s="1728"/>
      <c r="J804" s="1728"/>
      <c r="K804" s="1729"/>
      <c r="L804" s="1147" t="s">
        <v>1173</v>
      </c>
      <c r="M804" s="1169" t="s">
        <v>96</v>
      </c>
    </row>
    <row r="805" spans="1:20" x14ac:dyDescent="0.2">
      <c r="A805" s="1724" t="s">
        <v>1402</v>
      </c>
      <c r="B805" s="1725"/>
      <c r="C805" s="1725"/>
      <c r="D805" s="1725"/>
      <c r="E805" s="1725"/>
      <c r="F805" s="1725"/>
      <c r="G805" s="1725"/>
      <c r="H805" s="1725"/>
      <c r="I805" s="1725"/>
      <c r="J805" s="1725"/>
      <c r="K805" s="1725"/>
      <c r="L805" s="1725"/>
      <c r="M805" s="1726"/>
    </row>
    <row r="806" spans="1:20" x14ac:dyDescent="0.2">
      <c r="A806" s="666" t="s">
        <v>281</v>
      </c>
      <c r="B806" s="667" t="s">
        <v>92</v>
      </c>
      <c r="C806" s="1145"/>
      <c r="D806" s="1145"/>
      <c r="E806" s="1145"/>
      <c r="F806" s="1145" t="s">
        <v>93</v>
      </c>
      <c r="G806" s="1145"/>
      <c r="H806" s="1145"/>
      <c r="J806" s="667" t="s">
        <v>94</v>
      </c>
      <c r="K806" s="667" t="s">
        <v>35</v>
      </c>
      <c r="L806" s="1157" t="s">
        <v>95</v>
      </c>
      <c r="M806" s="1147" t="s">
        <v>86</v>
      </c>
    </row>
    <row r="807" spans="1:20" ht="31.5" customHeight="1" x14ac:dyDescent="0.2">
      <c r="A807" s="1134" t="s">
        <v>445</v>
      </c>
      <c r="B807" s="58">
        <v>40535</v>
      </c>
      <c r="C807" s="1727" t="s">
        <v>819</v>
      </c>
      <c r="D807" s="1728"/>
      <c r="E807" s="1728"/>
      <c r="F807" s="1728"/>
      <c r="G807" s="1728"/>
      <c r="H807" s="1728"/>
      <c r="I807" s="1729"/>
      <c r="J807" s="599" t="s">
        <v>216</v>
      </c>
      <c r="K807" s="1115">
        <f>Q809</f>
        <v>61.83</v>
      </c>
      <c r="L807" s="1183">
        <v>11.69</v>
      </c>
      <c r="M807" s="614">
        <f>ROUND(L807*K807,2)</f>
        <v>722.79</v>
      </c>
    </row>
    <row r="808" spans="1:20" ht="31.5" customHeight="1" x14ac:dyDescent="0.2">
      <c r="A808" s="1134" t="s">
        <v>445</v>
      </c>
      <c r="B808" s="58">
        <v>3992</v>
      </c>
      <c r="C808" s="1721" t="s">
        <v>789</v>
      </c>
      <c r="D808" s="1722"/>
      <c r="E808" s="1722"/>
      <c r="F808" s="1722"/>
      <c r="G808" s="1722"/>
      <c r="H808" s="1722"/>
      <c r="I808" s="1723"/>
      <c r="J808" s="599" t="s">
        <v>214</v>
      </c>
      <c r="K808" s="1115">
        <f>(4.2+4.15)*19</f>
        <v>158.65000000000003</v>
      </c>
      <c r="L808" s="1183">
        <v>24.85</v>
      </c>
      <c r="M808" s="614">
        <f>ROUND(L808*K808,2)</f>
        <v>3942.45</v>
      </c>
      <c r="O808" s="38" t="s">
        <v>821</v>
      </c>
      <c r="P808" s="38" t="s">
        <v>209</v>
      </c>
      <c r="Q808" s="38" t="s">
        <v>219</v>
      </c>
    </row>
    <row r="809" spans="1:20" ht="31.5" customHeight="1" x14ac:dyDescent="0.2">
      <c r="A809" s="1134" t="s">
        <v>445</v>
      </c>
      <c r="B809" s="58">
        <v>39424</v>
      </c>
      <c r="C809" s="1727" t="s">
        <v>790</v>
      </c>
      <c r="D809" s="1728"/>
      <c r="E809" s="1728"/>
      <c r="F809" s="1728"/>
      <c r="G809" s="1728"/>
      <c r="H809" s="1728"/>
      <c r="I809" s="1729"/>
      <c r="J809" s="599" t="s">
        <v>214</v>
      </c>
      <c r="K809" s="1115">
        <f>K808</f>
        <v>158.65000000000003</v>
      </c>
      <c r="L809" s="1183">
        <v>4.2300000000000004</v>
      </c>
      <c r="M809" s="614">
        <f>ROUND(L809*K809,2)</f>
        <v>671.09</v>
      </c>
      <c r="O809" s="38">
        <f>(0.5*12)+4.2+4.15+6.26</f>
        <v>20.61</v>
      </c>
      <c r="P809" s="1137">
        <v>3</v>
      </c>
      <c r="Q809">
        <f>P809*O809</f>
        <v>61.83</v>
      </c>
    </row>
    <row r="810" spans="1:20" ht="31.5" customHeight="1" x14ac:dyDescent="0.2">
      <c r="A810" s="1134" t="s">
        <v>445</v>
      </c>
      <c r="B810" s="58">
        <v>1319</v>
      </c>
      <c r="C810" s="1721" t="s">
        <v>787</v>
      </c>
      <c r="D810" s="1722"/>
      <c r="E810" s="1722"/>
      <c r="F810" s="1722"/>
      <c r="G810" s="1722"/>
      <c r="H810" s="1722"/>
      <c r="I810" s="1723"/>
      <c r="J810" s="599" t="s">
        <v>216</v>
      </c>
      <c r="K810" s="1115">
        <f>Q812</f>
        <v>29.64</v>
      </c>
      <c r="L810" s="1183">
        <v>9.42</v>
      </c>
      <c r="M810" s="614">
        <f t="shared" ref="M810:M817" si="42">ROUND(L810*K810,2)</f>
        <v>279.20999999999998</v>
      </c>
      <c r="O810" s="38"/>
    </row>
    <row r="811" spans="1:20" ht="41.25" customHeight="1" x14ac:dyDescent="0.2">
      <c r="A811" s="1134" t="s">
        <v>282</v>
      </c>
      <c r="B811" s="58">
        <v>90283</v>
      </c>
      <c r="C811" s="1721" t="s">
        <v>680</v>
      </c>
      <c r="D811" s="1722"/>
      <c r="E811" s="1722"/>
      <c r="F811" s="1722"/>
      <c r="G811" s="1722"/>
      <c r="H811" s="1722"/>
      <c r="I811" s="1723"/>
      <c r="J811" s="599" t="s">
        <v>373</v>
      </c>
      <c r="K811" s="1141">
        <f>(6*4)*(0.15*0.45*0.15)</f>
        <v>0.24299999999999999</v>
      </c>
      <c r="L811" s="1183">
        <v>623.27</v>
      </c>
      <c r="M811" s="614">
        <f t="shared" si="42"/>
        <v>151.44999999999999</v>
      </c>
      <c r="O811" s="38" t="s">
        <v>822</v>
      </c>
      <c r="P811" s="38" t="s">
        <v>788</v>
      </c>
      <c r="Q811" s="38" t="s">
        <v>219</v>
      </c>
    </row>
    <row r="812" spans="1:20" ht="31.5" customHeight="1" x14ac:dyDescent="0.2">
      <c r="A812" s="295" t="s">
        <v>445</v>
      </c>
      <c r="B812" s="692">
        <v>11975</v>
      </c>
      <c r="C812" s="1721" t="s">
        <v>820</v>
      </c>
      <c r="D812" s="1722"/>
      <c r="E812" s="1722"/>
      <c r="F812" s="1722"/>
      <c r="G812" s="1722"/>
      <c r="H812" s="1722"/>
      <c r="I812" s="1723"/>
      <c r="J812" s="401" t="s">
        <v>236</v>
      </c>
      <c r="K812" s="402">
        <f>6*4</f>
        <v>24</v>
      </c>
      <c r="L812" s="1183">
        <v>25.41</v>
      </c>
      <c r="M812" s="614">
        <f t="shared" si="42"/>
        <v>609.84</v>
      </c>
      <c r="O812">
        <f>(0.13*0.25)*(6*4)</f>
        <v>0.78</v>
      </c>
      <c r="P812">
        <v>38</v>
      </c>
      <c r="Q812">
        <f>P812*O812</f>
        <v>29.64</v>
      </c>
    </row>
    <row r="813" spans="1:20" ht="55.5" customHeight="1" x14ac:dyDescent="0.2">
      <c r="A813" s="1132" t="s">
        <v>282</v>
      </c>
      <c r="B813" s="692">
        <v>100722</v>
      </c>
      <c r="C813" s="1721" t="s">
        <v>818</v>
      </c>
      <c r="D813" s="1722"/>
      <c r="E813" s="1722"/>
      <c r="F813" s="1722"/>
      <c r="G813" s="1722"/>
      <c r="H813" s="1722"/>
      <c r="I813" s="1723"/>
      <c r="J813" s="725" t="s">
        <v>252</v>
      </c>
      <c r="K813" s="1142">
        <f>Q816</f>
        <v>3.0914999999999999</v>
      </c>
      <c r="L813" s="1183">
        <v>18.649999999999999</v>
      </c>
      <c r="M813" s="614">
        <f t="shared" si="42"/>
        <v>57.66</v>
      </c>
      <c r="P813" s="38"/>
      <c r="Q813" s="38"/>
      <c r="R813" s="890"/>
      <c r="S813" s="890"/>
      <c r="T813" s="38"/>
    </row>
    <row r="814" spans="1:20" ht="23.25" customHeight="1" x14ac:dyDescent="0.2">
      <c r="A814" s="1194" t="s">
        <v>282</v>
      </c>
      <c r="B814" s="692">
        <v>102234</v>
      </c>
      <c r="C814" s="1721" t="s">
        <v>1205</v>
      </c>
      <c r="D814" s="1722"/>
      <c r="E814" s="1722"/>
      <c r="F814" s="1722"/>
      <c r="G814" s="1722"/>
      <c r="H814" s="1722"/>
      <c r="I814" s="1723"/>
      <c r="J814" s="725" t="s">
        <v>6</v>
      </c>
      <c r="K814" s="726">
        <f>(K808*0.3)*2</f>
        <v>95.190000000000012</v>
      </c>
      <c r="L814" s="1183">
        <v>18.28</v>
      </c>
      <c r="M814" s="614">
        <f t="shared" si="42"/>
        <v>1740.07</v>
      </c>
      <c r="O814" s="38"/>
      <c r="R814" s="827"/>
      <c r="S814" s="827"/>
    </row>
    <row r="815" spans="1:20" ht="31.5" customHeight="1" x14ac:dyDescent="0.2">
      <c r="A815" s="1132" t="s">
        <v>282</v>
      </c>
      <c r="B815" s="692">
        <v>102213</v>
      </c>
      <c r="C815" s="1721" t="s">
        <v>681</v>
      </c>
      <c r="D815" s="1722"/>
      <c r="E815" s="1722"/>
      <c r="F815" s="1722"/>
      <c r="G815" s="1722"/>
      <c r="H815" s="1722"/>
      <c r="I815" s="1723"/>
      <c r="J815" s="725" t="s">
        <v>252</v>
      </c>
      <c r="K815" s="726">
        <f>K808*0.3*2</f>
        <v>95.190000000000012</v>
      </c>
      <c r="L815" s="1183">
        <v>16.3</v>
      </c>
      <c r="M815" s="614">
        <f t="shared" si="42"/>
        <v>1551.6</v>
      </c>
      <c r="O815" s="38" t="s">
        <v>823</v>
      </c>
      <c r="P815" s="38" t="s">
        <v>821</v>
      </c>
      <c r="Q815" s="38" t="s">
        <v>219</v>
      </c>
      <c r="R815" s="827"/>
    </row>
    <row r="816" spans="1:20" ht="31.5" customHeight="1" x14ac:dyDescent="0.2">
      <c r="A816" s="1132" t="s">
        <v>621</v>
      </c>
      <c r="B816" s="692">
        <v>280003</v>
      </c>
      <c r="C816" s="1732" t="s">
        <v>1169</v>
      </c>
      <c r="D816" s="1733"/>
      <c r="E816" s="1733"/>
      <c r="F816" s="1733"/>
      <c r="G816" s="1733"/>
      <c r="H816" s="1733"/>
      <c r="I816" s="1734"/>
      <c r="J816" s="725" t="s">
        <v>217</v>
      </c>
      <c r="K816" s="1115">
        <f>5*3*8</f>
        <v>120</v>
      </c>
      <c r="L816" s="1183">
        <v>16.05</v>
      </c>
      <c r="M816" s="614">
        <f t="shared" si="42"/>
        <v>1926</v>
      </c>
      <c r="O816" s="38">
        <f>(0.075*2)</f>
        <v>0.15</v>
      </c>
      <c r="P816">
        <f>O809</f>
        <v>20.61</v>
      </c>
      <c r="Q816">
        <f>P816*O816</f>
        <v>3.0914999999999999</v>
      </c>
    </row>
    <row r="817" spans="1:18" ht="31.5" customHeight="1" x14ac:dyDescent="0.2">
      <c r="A817" s="1132" t="s">
        <v>282</v>
      </c>
      <c r="B817" s="692">
        <v>88278</v>
      </c>
      <c r="C817" s="1721" t="s">
        <v>1168</v>
      </c>
      <c r="D817" s="1722"/>
      <c r="E817" s="1722"/>
      <c r="F817" s="1722"/>
      <c r="G817" s="1722"/>
      <c r="H817" s="1722"/>
      <c r="I817" s="1723"/>
      <c r="J817" s="599" t="s">
        <v>217</v>
      </c>
      <c r="K817" s="1115">
        <f>5*3*8</f>
        <v>120</v>
      </c>
      <c r="L817" s="1183">
        <v>17.73</v>
      </c>
      <c r="M817" s="614">
        <f t="shared" si="42"/>
        <v>2127.6</v>
      </c>
      <c r="P817" s="38"/>
      <c r="Q817" s="38"/>
      <c r="R817" s="890"/>
    </row>
    <row r="818" spans="1:18" x14ac:dyDescent="0.2">
      <c r="A818" s="292"/>
      <c r="B818" s="1131"/>
      <c r="C818" s="1730" t="s">
        <v>1171</v>
      </c>
      <c r="D818" s="1725"/>
      <c r="E818" s="1725"/>
      <c r="F818" s="1725"/>
      <c r="G818" s="1725"/>
      <c r="H818" s="1725"/>
      <c r="I818" s="1725"/>
      <c r="J818" s="1731"/>
      <c r="K818" s="669"/>
      <c r="L818" s="1159"/>
      <c r="M818" s="1154">
        <f>SUM(M807:M817)</f>
        <v>13779.76</v>
      </c>
      <c r="O818" s="890">
        <f>15*8</f>
        <v>120</v>
      </c>
      <c r="R818" s="827"/>
    </row>
    <row r="820" spans="1:18" x14ac:dyDescent="0.2">
      <c r="A820" s="1190" t="s">
        <v>375</v>
      </c>
      <c r="B820" s="1730" t="s">
        <v>131</v>
      </c>
      <c r="C820" s="1725"/>
      <c r="D820" s="1725"/>
      <c r="E820" s="1725"/>
      <c r="F820" s="1725"/>
      <c r="G820" s="1725"/>
      <c r="H820" s="1725"/>
      <c r="I820" s="1725"/>
      <c r="J820" s="1725"/>
      <c r="K820" s="1725"/>
      <c r="L820" s="1725"/>
      <c r="M820" s="1731"/>
    </row>
    <row r="821" spans="1:18" ht="35.25" customHeight="1" x14ac:dyDescent="0.2">
      <c r="A821" s="291" t="str">
        <f>ORÇ!A480</f>
        <v>20.4</v>
      </c>
      <c r="B821" s="623"/>
      <c r="C821" s="1727" t="s">
        <v>1208</v>
      </c>
      <c r="D821" s="1728"/>
      <c r="E821" s="1728"/>
      <c r="F821" s="1728"/>
      <c r="G821" s="1728"/>
      <c r="H821" s="1728"/>
      <c r="I821" s="1728"/>
      <c r="J821" s="1728"/>
      <c r="K821" s="1729"/>
      <c r="L821" s="1147" t="s">
        <v>1173</v>
      </c>
      <c r="M821" s="1169" t="s">
        <v>6</v>
      </c>
    </row>
    <row r="822" spans="1:18" x14ac:dyDescent="0.2">
      <c r="A822" s="1724" t="s">
        <v>1730</v>
      </c>
      <c r="B822" s="1725"/>
      <c r="C822" s="1725"/>
      <c r="D822" s="1725"/>
      <c r="E822" s="1725"/>
      <c r="F822" s="1725"/>
      <c r="G822" s="1725"/>
      <c r="H822" s="1725"/>
      <c r="I822" s="1725"/>
      <c r="J822" s="1725"/>
      <c r="K822" s="1725"/>
      <c r="L822" s="1725"/>
      <c r="M822" s="1726"/>
    </row>
    <row r="823" spans="1:18" x14ac:dyDescent="0.2">
      <c r="A823" s="666" t="s">
        <v>281</v>
      </c>
      <c r="B823" s="1196" t="s">
        <v>92</v>
      </c>
      <c r="C823" s="1145"/>
      <c r="D823" s="1145"/>
      <c r="E823" s="1145"/>
      <c r="F823" s="1145" t="s">
        <v>93</v>
      </c>
      <c r="G823" s="1145"/>
      <c r="H823" s="1145"/>
      <c r="J823" s="1196" t="s">
        <v>94</v>
      </c>
      <c r="K823" s="1196" t="s">
        <v>35</v>
      </c>
      <c r="L823" s="1157" t="s">
        <v>95</v>
      </c>
      <c r="M823" s="1147" t="s">
        <v>86</v>
      </c>
    </row>
    <row r="824" spans="1:18" ht="30.75" customHeight="1" x14ac:dyDescent="0.2">
      <c r="A824" s="1195" t="s">
        <v>445</v>
      </c>
      <c r="B824" s="58">
        <v>20206</v>
      </c>
      <c r="C824" s="1727" t="s">
        <v>1200</v>
      </c>
      <c r="D824" s="1728"/>
      <c r="E824" s="1728"/>
      <c r="F824" s="1728"/>
      <c r="G824" s="1728"/>
      <c r="H824" s="1728"/>
      <c r="I824" s="1729"/>
      <c r="J824" s="599" t="s">
        <v>619</v>
      </c>
      <c r="K824" s="1115">
        <f>((20*2.5)+(2*2.4))/6</f>
        <v>9.1333333333333329</v>
      </c>
      <c r="L824" s="1183">
        <v>7.36</v>
      </c>
      <c r="M824" s="614">
        <f>ROUND(L824*K824,2)</f>
        <v>67.22</v>
      </c>
    </row>
    <row r="825" spans="1:18" x14ac:dyDescent="0.2">
      <c r="A825" s="1195" t="s">
        <v>445</v>
      </c>
      <c r="B825" s="58">
        <v>5067</v>
      </c>
      <c r="C825" s="1727" t="s">
        <v>1202</v>
      </c>
      <c r="D825" s="1728"/>
      <c r="E825" s="1728"/>
      <c r="F825" s="1728"/>
      <c r="G825" s="1728"/>
      <c r="H825" s="1728"/>
      <c r="I825" s="1729"/>
      <c r="J825" s="599" t="s">
        <v>216</v>
      </c>
      <c r="K825" s="1141">
        <f>40/N825</f>
        <v>0.13793103448275862</v>
      </c>
      <c r="L825" s="1183">
        <v>23.02</v>
      </c>
      <c r="M825" s="614">
        <f t="shared" ref="M825:M826" si="43">ROUND(L825*K825,2)</f>
        <v>3.18</v>
      </c>
      <c r="N825">
        <v>290</v>
      </c>
      <c r="O825" s="38" t="s">
        <v>1207</v>
      </c>
    </row>
    <row r="826" spans="1:18" ht="31.5" customHeight="1" x14ac:dyDescent="0.2">
      <c r="A826" s="1195" t="s">
        <v>445</v>
      </c>
      <c r="B826" s="58">
        <v>11964</v>
      </c>
      <c r="C826" s="1721" t="s">
        <v>1201</v>
      </c>
      <c r="D826" s="1722"/>
      <c r="E826" s="1722"/>
      <c r="F826" s="1722"/>
      <c r="G826" s="1722"/>
      <c r="H826" s="1722"/>
      <c r="I826" s="1723"/>
      <c r="J826" s="599" t="s">
        <v>236</v>
      </c>
      <c r="K826" s="1115">
        <f>(3+3)/6</f>
        <v>1</v>
      </c>
      <c r="L826" s="1183">
        <v>2.58</v>
      </c>
      <c r="M826" s="614">
        <f t="shared" si="43"/>
        <v>2.58</v>
      </c>
    </row>
    <row r="827" spans="1:18" ht="42" customHeight="1" x14ac:dyDescent="0.2">
      <c r="A827" s="1195" t="s">
        <v>282</v>
      </c>
      <c r="B827" s="58">
        <v>90282</v>
      </c>
      <c r="C827" s="1727" t="s">
        <v>1203</v>
      </c>
      <c r="D827" s="1728"/>
      <c r="E827" s="1728"/>
      <c r="F827" s="1728"/>
      <c r="G827" s="1728"/>
      <c r="H827" s="1728"/>
      <c r="I827" s="1729"/>
      <c r="J827" s="599" t="s">
        <v>373</v>
      </c>
      <c r="K827" s="1141">
        <f>(0.15*0.1)*0.045</f>
        <v>6.7499999999999993E-4</v>
      </c>
      <c r="L827" s="1183">
        <v>556.07000000000005</v>
      </c>
      <c r="M827" s="614">
        <f>ROUND(L827*K827,2)</f>
        <v>0.38</v>
      </c>
    </row>
    <row r="828" spans="1:18" x14ac:dyDescent="0.2">
      <c r="A828" s="1195" t="s">
        <v>282</v>
      </c>
      <c r="B828" s="58">
        <v>102234</v>
      </c>
      <c r="C828" s="1237" t="s">
        <v>1205</v>
      </c>
      <c r="D828" s="1238"/>
      <c r="E828" s="1238"/>
      <c r="F828" s="1238"/>
      <c r="G828" s="1238"/>
      <c r="H828" s="1238"/>
      <c r="I828" s="1239"/>
      <c r="J828" s="599" t="s">
        <v>252</v>
      </c>
      <c r="K828" s="1115">
        <f>ROUND((0.03+0.07+0.07+0.03)*K824,2)</f>
        <v>1.83</v>
      </c>
      <c r="L828" s="1187">
        <v>18.28</v>
      </c>
      <c r="M828" s="614">
        <f>ROUND(L828*K828,2)</f>
        <v>33.450000000000003</v>
      </c>
    </row>
    <row r="829" spans="1:18" ht="30.75" customHeight="1" x14ac:dyDescent="0.2">
      <c r="A829" s="1195" t="s">
        <v>282</v>
      </c>
      <c r="B829" s="58">
        <v>102215</v>
      </c>
      <c r="C829" s="1727" t="s">
        <v>1206</v>
      </c>
      <c r="D829" s="1728"/>
      <c r="E829" s="1728"/>
      <c r="F829" s="1728"/>
      <c r="G829" s="1728"/>
      <c r="H829" s="1728"/>
      <c r="I829" s="1729"/>
      <c r="J829" s="599" t="s">
        <v>252</v>
      </c>
      <c r="K829" s="1115">
        <f>K828</f>
        <v>1.83</v>
      </c>
      <c r="L829" s="1187">
        <v>15.15</v>
      </c>
      <c r="M829" s="614">
        <f>ROUND(L829*K829,2)</f>
        <v>27.72</v>
      </c>
    </row>
    <row r="830" spans="1:18" x14ac:dyDescent="0.2">
      <c r="A830" s="1192"/>
      <c r="B830" s="1131"/>
      <c r="C830" s="1730" t="s">
        <v>1171</v>
      </c>
      <c r="D830" s="1725"/>
      <c r="E830" s="1725"/>
      <c r="F830" s="1725"/>
      <c r="G830" s="1725"/>
      <c r="H830" s="1725"/>
      <c r="I830" s="1725"/>
      <c r="J830" s="1731"/>
      <c r="K830" s="1191"/>
      <c r="L830" s="1159"/>
      <c r="M830" s="1154">
        <f>SUM(M824:M829)</f>
        <v>134.53</v>
      </c>
    </row>
    <row r="832" spans="1:18" x14ac:dyDescent="0.2">
      <c r="A832" s="1190" t="s">
        <v>375</v>
      </c>
      <c r="B832" s="1730" t="s">
        <v>131</v>
      </c>
      <c r="C832" s="1725"/>
      <c r="D832" s="1725"/>
      <c r="E832" s="1725"/>
      <c r="F832" s="1725"/>
      <c r="G832" s="1725"/>
      <c r="H832" s="1725"/>
      <c r="I832" s="1725"/>
      <c r="J832" s="1725"/>
      <c r="K832" s="1725"/>
      <c r="L832" s="1725"/>
      <c r="M832" s="1731"/>
    </row>
    <row r="833" spans="1:15" ht="35.25" customHeight="1" x14ac:dyDescent="0.2">
      <c r="A833" s="291" t="str">
        <f>ORÇ!A481</f>
        <v>20.5</v>
      </c>
      <c r="B833" s="623"/>
      <c r="C833" s="1727" t="s">
        <v>1403</v>
      </c>
      <c r="D833" s="1728"/>
      <c r="E833" s="1728"/>
      <c r="F833" s="1728"/>
      <c r="G833" s="1728"/>
      <c r="H833" s="1728"/>
      <c r="I833" s="1728"/>
      <c r="J833" s="1728"/>
      <c r="K833" s="1729"/>
      <c r="L833" s="1147" t="s">
        <v>1173</v>
      </c>
      <c r="M833" s="1169" t="s">
        <v>96</v>
      </c>
    </row>
    <row r="834" spans="1:15" x14ac:dyDescent="0.2">
      <c r="A834" s="1724" t="s">
        <v>1731</v>
      </c>
      <c r="B834" s="1725"/>
      <c r="C834" s="1725"/>
      <c r="D834" s="1725"/>
      <c r="E834" s="1725"/>
      <c r="F834" s="1725"/>
      <c r="G834" s="1725"/>
      <c r="H834" s="1725"/>
      <c r="I834" s="1725"/>
      <c r="J834" s="1725"/>
      <c r="K834" s="1725"/>
      <c r="L834" s="1725"/>
      <c r="M834" s="1726"/>
    </row>
    <row r="835" spans="1:15" x14ac:dyDescent="0.2">
      <c r="A835" s="666" t="s">
        <v>281</v>
      </c>
      <c r="B835" s="1196" t="s">
        <v>92</v>
      </c>
      <c r="C835" s="1145"/>
      <c r="D835" s="1145"/>
      <c r="E835" s="1145"/>
      <c r="F835" s="1145" t="s">
        <v>93</v>
      </c>
      <c r="G835" s="1145"/>
      <c r="H835" s="1145"/>
      <c r="J835" s="1196" t="s">
        <v>94</v>
      </c>
      <c r="K835" s="1196" t="s">
        <v>35</v>
      </c>
      <c r="L835" s="1157" t="s">
        <v>95</v>
      </c>
      <c r="M835" s="1147" t="s">
        <v>86</v>
      </c>
    </row>
    <row r="836" spans="1:15" x14ac:dyDescent="0.2">
      <c r="A836" s="1195" t="s">
        <v>621</v>
      </c>
      <c r="B836" s="58">
        <v>61458</v>
      </c>
      <c r="C836" s="1237" t="s">
        <v>1215</v>
      </c>
      <c r="D836" s="1238"/>
      <c r="E836" s="1238"/>
      <c r="F836" s="1238"/>
      <c r="G836" s="1238"/>
      <c r="H836" s="1238"/>
      <c r="I836" s="1239"/>
      <c r="J836" s="599" t="s">
        <v>252</v>
      </c>
      <c r="K836" s="1141">
        <f>(0.5+0.3+0.5)*2.9</f>
        <v>3.77</v>
      </c>
      <c r="L836" s="1183">
        <v>471</v>
      </c>
      <c r="M836" s="614">
        <f>ROUND(L836*K836,2)</f>
        <v>1775.67</v>
      </c>
      <c r="O836" s="1140">
        <f>50*L836</f>
        <v>23550</v>
      </c>
    </row>
    <row r="837" spans="1:15" x14ac:dyDescent="0.2">
      <c r="A837" s="1192"/>
      <c r="B837" s="1131"/>
      <c r="C837" s="1730" t="s">
        <v>1171</v>
      </c>
      <c r="D837" s="1725"/>
      <c r="E837" s="1725"/>
      <c r="F837" s="1725"/>
      <c r="G837" s="1725"/>
      <c r="H837" s="1725"/>
      <c r="I837" s="1725"/>
      <c r="J837" s="1731"/>
      <c r="K837" s="1191"/>
      <c r="L837" s="1159"/>
      <c r="M837" s="1154">
        <f>SUM(M836:M836)</f>
        <v>1775.67</v>
      </c>
    </row>
    <row r="838" spans="1:15" x14ac:dyDescent="0.2">
      <c r="A838" s="1268"/>
      <c r="B838" s="1269"/>
      <c r="C838" s="1270"/>
      <c r="D838" s="1270"/>
      <c r="E838" s="1270"/>
      <c r="F838" s="1270"/>
      <c r="G838" s="1270"/>
      <c r="H838" s="1270"/>
      <c r="I838" s="1270"/>
      <c r="J838" s="1270"/>
      <c r="K838" s="1270"/>
      <c r="L838" s="1271"/>
      <c r="M838" s="1272"/>
    </row>
    <row r="839" spans="1:15" x14ac:dyDescent="0.2">
      <c r="A839" s="1253" t="s">
        <v>375</v>
      </c>
      <c r="B839" s="1252"/>
      <c r="C839" s="1256"/>
      <c r="D839" s="1256"/>
      <c r="E839" s="1256"/>
      <c r="F839" s="1256"/>
      <c r="G839" s="1256" t="s">
        <v>1265</v>
      </c>
      <c r="H839" s="1256"/>
      <c r="I839" s="1256"/>
      <c r="J839" s="1256"/>
      <c r="K839" s="1256"/>
      <c r="L839" s="1256"/>
      <c r="M839" s="1257"/>
    </row>
    <row r="840" spans="1:15" x14ac:dyDescent="0.2">
      <c r="A840" s="1258" t="str">
        <f>ORÇ!A279</f>
        <v>12.19</v>
      </c>
      <c r="B840" s="108"/>
      <c r="C840" s="1812" t="s">
        <v>1273</v>
      </c>
      <c r="D840" s="1812"/>
      <c r="E840" s="1812"/>
      <c r="F840" s="1812"/>
      <c r="G840" s="1812"/>
      <c r="H840" s="1812"/>
      <c r="I840" s="1812"/>
      <c r="J840" s="1812"/>
      <c r="K840" s="1812"/>
      <c r="L840" s="1812"/>
      <c r="M840" s="1813"/>
    </row>
    <row r="841" spans="1:15" x14ac:dyDescent="0.2">
      <c r="A841" s="600"/>
      <c r="B841" s="665"/>
      <c r="C841" s="1259"/>
      <c r="D841" s="1259"/>
      <c r="E841" s="1259"/>
      <c r="F841" s="1259"/>
      <c r="G841" s="1260" t="s">
        <v>1732</v>
      </c>
      <c r="H841" s="1259"/>
      <c r="I841" s="1259"/>
      <c r="J841" s="1259"/>
      <c r="K841" s="1259"/>
      <c r="L841" s="1261"/>
      <c r="M841" s="293" t="s">
        <v>86</v>
      </c>
    </row>
    <row r="842" spans="1:15" x14ac:dyDescent="0.2">
      <c r="A842" s="666" t="s">
        <v>281</v>
      </c>
      <c r="B842" s="1254" t="s">
        <v>92</v>
      </c>
      <c r="C842" s="1262"/>
      <c r="D842" s="1262"/>
      <c r="E842" s="1262"/>
      <c r="F842" s="1262" t="s">
        <v>93</v>
      </c>
      <c r="G842" s="1262"/>
      <c r="H842" s="1262"/>
      <c r="I842" s="1263"/>
      <c r="J842" s="1264" t="s">
        <v>94</v>
      </c>
      <c r="K842" s="1264" t="s">
        <v>35</v>
      </c>
      <c r="L842" s="760" t="s">
        <v>95</v>
      </c>
      <c r="M842" s="1265"/>
    </row>
    <row r="843" spans="1:15" ht="24" customHeight="1" x14ac:dyDescent="0.2">
      <c r="A843" s="1279" t="s">
        <v>445</v>
      </c>
      <c r="B843" s="602">
        <v>11267</v>
      </c>
      <c r="C843" s="1748" t="s">
        <v>1268</v>
      </c>
      <c r="D843" s="1749"/>
      <c r="E843" s="1749"/>
      <c r="F843" s="1749"/>
      <c r="G843" s="1749"/>
      <c r="H843" s="1749"/>
      <c r="I843" s="1750"/>
      <c r="J843" s="602" t="s">
        <v>236</v>
      </c>
      <c r="K843" s="668">
        <v>4</v>
      </c>
      <c r="L843" s="1291">
        <v>0.96</v>
      </c>
      <c r="M843" s="1291">
        <f>ROUND(L843*K843,2)</f>
        <v>3.84</v>
      </c>
    </row>
    <row r="844" spans="1:15" ht="24" customHeight="1" x14ac:dyDescent="0.2">
      <c r="A844" s="1279" t="s">
        <v>445</v>
      </c>
      <c r="B844" s="602">
        <v>11976</v>
      </c>
      <c r="C844" s="1748" t="s">
        <v>1269</v>
      </c>
      <c r="D844" s="1749"/>
      <c r="E844" s="1749"/>
      <c r="F844" s="1749"/>
      <c r="G844" s="1749"/>
      <c r="H844" s="1749"/>
      <c r="I844" s="1750"/>
      <c r="J844" s="602" t="s">
        <v>236</v>
      </c>
      <c r="K844" s="668">
        <v>1.34</v>
      </c>
      <c r="L844" s="1291">
        <v>1.3</v>
      </c>
      <c r="M844" s="1291">
        <f t="shared" ref="M844:M851" si="44">ROUND(L844*K844,2)</f>
        <v>1.74</v>
      </c>
    </row>
    <row r="845" spans="1:15" ht="24" customHeight="1" x14ac:dyDescent="0.2">
      <c r="A845" s="1279" t="s">
        <v>445</v>
      </c>
      <c r="B845" s="602">
        <v>39029</v>
      </c>
      <c r="C845" s="1748" t="s">
        <v>1270</v>
      </c>
      <c r="D845" s="1749"/>
      <c r="E845" s="1749"/>
      <c r="F845" s="1749"/>
      <c r="G845" s="1749"/>
      <c r="H845" s="1749"/>
      <c r="I845" s="1750"/>
      <c r="J845" s="602" t="s">
        <v>236</v>
      </c>
      <c r="K845" s="668">
        <v>0.56000000000000005</v>
      </c>
      <c r="L845" s="1291">
        <v>20.2</v>
      </c>
      <c r="M845" s="1291">
        <f t="shared" si="44"/>
        <v>11.31</v>
      </c>
    </row>
    <row r="846" spans="1:15" ht="24" customHeight="1" x14ac:dyDescent="0.2">
      <c r="A846" s="602" t="s">
        <v>621</v>
      </c>
      <c r="B846" s="602">
        <v>170931</v>
      </c>
      <c r="C846" s="1748" t="s">
        <v>1277</v>
      </c>
      <c r="D846" s="1749"/>
      <c r="E846" s="1749"/>
      <c r="F846" s="1749"/>
      <c r="G846" s="1749"/>
      <c r="H846" s="1749"/>
      <c r="I846" s="1750"/>
      <c r="J846" s="602" t="s">
        <v>236</v>
      </c>
      <c r="K846" s="668">
        <v>1</v>
      </c>
      <c r="L846" s="1291">
        <v>79.56</v>
      </c>
      <c r="M846" s="1291">
        <f t="shared" si="44"/>
        <v>79.56</v>
      </c>
    </row>
    <row r="847" spans="1:15" ht="24" customHeight="1" x14ac:dyDescent="0.2">
      <c r="A847" s="602" t="s">
        <v>621</v>
      </c>
      <c r="B847" s="602">
        <v>170927</v>
      </c>
      <c r="C847" s="1748" t="s">
        <v>1278</v>
      </c>
      <c r="D847" s="1749"/>
      <c r="E847" s="1749"/>
      <c r="F847" s="1749"/>
      <c r="G847" s="1749"/>
      <c r="H847" s="1749"/>
      <c r="I847" s="1750"/>
      <c r="J847" s="602" t="s">
        <v>236</v>
      </c>
      <c r="K847" s="668">
        <v>1</v>
      </c>
      <c r="L847" s="1291">
        <v>60.56</v>
      </c>
      <c r="M847" s="1291">
        <f t="shared" si="44"/>
        <v>60.56</v>
      </c>
    </row>
    <row r="848" spans="1:15" ht="24" customHeight="1" x14ac:dyDescent="0.2">
      <c r="A848" s="602" t="s">
        <v>621</v>
      </c>
      <c r="B848" s="602">
        <v>170924</v>
      </c>
      <c r="C848" s="1748" t="s">
        <v>1279</v>
      </c>
      <c r="D848" s="1749"/>
      <c r="E848" s="1749"/>
      <c r="F848" s="1749"/>
      <c r="G848" s="1749"/>
      <c r="H848" s="1749"/>
      <c r="I848" s="1750"/>
      <c r="J848" s="602" t="s">
        <v>236</v>
      </c>
      <c r="K848" s="668">
        <v>1</v>
      </c>
      <c r="L848" s="1291">
        <v>103.86</v>
      </c>
      <c r="M848" s="1291">
        <f t="shared" si="44"/>
        <v>103.86</v>
      </c>
    </row>
    <row r="849" spans="1:13" ht="24" customHeight="1" x14ac:dyDescent="0.2">
      <c r="A849" s="1279" t="s">
        <v>445</v>
      </c>
      <c r="B849" s="602">
        <v>39996</v>
      </c>
      <c r="C849" s="1748" t="s">
        <v>1271</v>
      </c>
      <c r="D849" s="1749"/>
      <c r="E849" s="1749"/>
      <c r="F849" s="1749"/>
      <c r="G849" s="1749"/>
      <c r="H849" s="1749"/>
      <c r="I849" s="1750"/>
      <c r="J849" s="602" t="s">
        <v>236</v>
      </c>
      <c r="K849" s="668">
        <v>0.46700000000000003</v>
      </c>
      <c r="L849" s="1291">
        <v>4.5199999999999996</v>
      </c>
      <c r="M849" s="1291">
        <f t="shared" si="44"/>
        <v>2.11</v>
      </c>
    </row>
    <row r="850" spans="1:13" ht="36" customHeight="1" x14ac:dyDescent="0.2">
      <c r="A850" s="1279" t="s">
        <v>445</v>
      </c>
      <c r="B850" s="602">
        <v>39997</v>
      </c>
      <c r="C850" s="1748" t="s">
        <v>1272</v>
      </c>
      <c r="D850" s="1749"/>
      <c r="E850" s="1749"/>
      <c r="F850" s="1749"/>
      <c r="G850" s="1749"/>
      <c r="H850" s="1749"/>
      <c r="I850" s="1750"/>
      <c r="J850" s="602" t="s">
        <v>236</v>
      </c>
      <c r="K850" s="668">
        <v>4</v>
      </c>
      <c r="L850" s="1291">
        <v>0.33</v>
      </c>
      <c r="M850" s="1291">
        <f t="shared" si="44"/>
        <v>1.32</v>
      </c>
    </row>
    <row r="851" spans="1:13" ht="24" customHeight="1" x14ac:dyDescent="0.2">
      <c r="A851" s="1279" t="s">
        <v>282</v>
      </c>
      <c r="B851" s="602">
        <v>88248</v>
      </c>
      <c r="C851" s="1748" t="s">
        <v>560</v>
      </c>
      <c r="D851" s="1749"/>
      <c r="E851" s="1749"/>
      <c r="F851" s="1749"/>
      <c r="G851" s="1749"/>
      <c r="H851" s="1749"/>
      <c r="I851" s="1750"/>
      <c r="J851" s="602" t="s">
        <v>217</v>
      </c>
      <c r="K851" s="668">
        <v>2.3E-2</v>
      </c>
      <c r="L851" s="1291">
        <v>16.989999999999998</v>
      </c>
      <c r="M851" s="1291">
        <f t="shared" si="44"/>
        <v>0.39</v>
      </c>
    </row>
    <row r="852" spans="1:13" ht="24" customHeight="1" x14ac:dyDescent="0.2">
      <c r="A852" s="1279" t="s">
        <v>282</v>
      </c>
      <c r="B852" s="602">
        <v>88267</v>
      </c>
      <c r="C852" s="1748" t="s">
        <v>401</v>
      </c>
      <c r="D852" s="1749"/>
      <c r="E852" s="1749"/>
      <c r="F852" s="1749"/>
      <c r="G852" s="1749"/>
      <c r="H852" s="1749"/>
      <c r="I852" s="1750"/>
      <c r="J852" s="602" t="s">
        <v>217</v>
      </c>
      <c r="K852" s="668">
        <v>0.161</v>
      </c>
      <c r="L852" s="1291">
        <v>20.7</v>
      </c>
      <c r="M852" s="1291">
        <f>ROUND(L852*K852,2)</f>
        <v>3.33</v>
      </c>
    </row>
    <row r="853" spans="1:13" x14ac:dyDescent="0.2">
      <c r="A853" s="600"/>
      <c r="B853" s="665"/>
      <c r="C853" s="1814" t="s">
        <v>97</v>
      </c>
      <c r="D853" s="1815"/>
      <c r="E853" s="1815"/>
      <c r="F853" s="1815"/>
      <c r="G853" s="1815"/>
      <c r="H853" s="1815"/>
      <c r="I853" s="1815"/>
      <c r="J853" s="1816"/>
      <c r="K853" s="1266"/>
      <c r="L853" s="915"/>
      <c r="M853" s="1267">
        <f>SUM(M843:M852)</f>
        <v>268.02</v>
      </c>
    </row>
    <row r="855" spans="1:13" x14ac:dyDescent="0.2">
      <c r="A855" s="1308" t="s">
        <v>375</v>
      </c>
      <c r="B855" s="1730" t="s">
        <v>131</v>
      </c>
      <c r="C855" s="1725"/>
      <c r="D855" s="1725"/>
      <c r="E855" s="1725"/>
      <c r="F855" s="1725"/>
      <c r="G855" s="1725"/>
      <c r="H855" s="1725"/>
      <c r="I855" s="1725"/>
      <c r="J855" s="1725"/>
      <c r="K855" s="1725"/>
      <c r="L855" s="1725"/>
      <c r="M855" s="1731"/>
    </row>
    <row r="856" spans="1:13" ht="27" customHeight="1" x14ac:dyDescent="0.2">
      <c r="A856" s="291" t="str">
        <f>ORÇ!A482</f>
        <v>20.6</v>
      </c>
      <c r="B856" s="623"/>
      <c r="C856" s="1727" t="s">
        <v>1401</v>
      </c>
      <c r="D856" s="1728"/>
      <c r="E856" s="1728"/>
      <c r="F856" s="1728"/>
      <c r="G856" s="1728"/>
      <c r="H856" s="1728"/>
      <c r="I856" s="1728"/>
      <c r="J856" s="1728"/>
      <c r="K856" s="1729"/>
      <c r="L856" s="1147" t="s">
        <v>1173</v>
      </c>
      <c r="M856" s="1169" t="s">
        <v>6</v>
      </c>
    </row>
    <row r="857" spans="1:13" x14ac:dyDescent="0.2">
      <c r="A857" s="1724" t="s">
        <v>1733</v>
      </c>
      <c r="B857" s="1725"/>
      <c r="C857" s="1725"/>
      <c r="D857" s="1725"/>
      <c r="E857" s="1725"/>
      <c r="F857" s="1725"/>
      <c r="G857" s="1725"/>
      <c r="H857" s="1725"/>
      <c r="I857" s="1725"/>
      <c r="J857" s="1725"/>
      <c r="K857" s="1725"/>
      <c r="L857" s="1725"/>
      <c r="M857" s="1726"/>
    </row>
    <row r="858" spans="1:13" x14ac:dyDescent="0.2">
      <c r="A858" s="666" t="s">
        <v>281</v>
      </c>
      <c r="B858" s="1309" t="s">
        <v>92</v>
      </c>
      <c r="C858" s="1145"/>
      <c r="D858" s="1145"/>
      <c r="E858" s="1145"/>
      <c r="F858" s="1145" t="s">
        <v>93</v>
      </c>
      <c r="G858" s="1145"/>
      <c r="H858" s="1145"/>
      <c r="J858" s="1309" t="s">
        <v>94</v>
      </c>
      <c r="K858" s="1309" t="s">
        <v>35</v>
      </c>
      <c r="L858" s="1157" t="s">
        <v>95</v>
      </c>
      <c r="M858" s="1147" t="s">
        <v>86</v>
      </c>
    </row>
    <row r="859" spans="1:13" x14ac:dyDescent="0.2">
      <c r="A859" s="1735" t="s">
        <v>620</v>
      </c>
      <c r="B859" s="1736"/>
      <c r="C859" s="1727" t="s">
        <v>1218</v>
      </c>
      <c r="D859" s="1728"/>
      <c r="E859" s="1728"/>
      <c r="F859" s="1728"/>
      <c r="G859" s="1728"/>
      <c r="H859" s="1728"/>
      <c r="I859" s="1729"/>
      <c r="J859" s="599" t="s">
        <v>6</v>
      </c>
      <c r="K859" s="1141">
        <v>1</v>
      </c>
      <c r="L859" s="1183">
        <v>1548.62</v>
      </c>
      <c r="M859" s="614">
        <f>ROUND(L859*K859,2)</f>
        <v>1548.62</v>
      </c>
    </row>
    <row r="860" spans="1:13" x14ac:dyDescent="0.2">
      <c r="A860" s="1306" t="s">
        <v>282</v>
      </c>
      <c r="B860" s="58">
        <v>88316</v>
      </c>
      <c r="C860" s="1727" t="s">
        <v>99</v>
      </c>
      <c r="D860" s="1728"/>
      <c r="E860" s="1728"/>
      <c r="F860" s="1728"/>
      <c r="G860" s="1728"/>
      <c r="H860" s="1728"/>
      <c r="I860" s="1729"/>
      <c r="J860" s="599" t="s">
        <v>217</v>
      </c>
      <c r="K860" s="1141">
        <v>0.56000000000000005</v>
      </c>
      <c r="L860" s="1183">
        <v>17.09</v>
      </c>
      <c r="M860" s="614">
        <f>ROUND(L860*K860,2)</f>
        <v>9.57</v>
      </c>
    </row>
    <row r="861" spans="1:13" x14ac:dyDescent="0.2">
      <c r="A861" s="1306" t="s">
        <v>282</v>
      </c>
      <c r="B861" s="58">
        <v>88309</v>
      </c>
      <c r="C861" s="1769" t="s">
        <v>374</v>
      </c>
      <c r="D861" s="1770"/>
      <c r="E861" s="1770"/>
      <c r="F861" s="1770"/>
      <c r="G861" s="1770"/>
      <c r="H861" s="1770"/>
      <c r="I861" s="1771"/>
      <c r="J861" s="599" t="s">
        <v>217</v>
      </c>
      <c r="K861" s="1141">
        <v>0.5</v>
      </c>
      <c r="L861" s="1187">
        <v>21.31</v>
      </c>
      <c r="M861" s="614">
        <f>ROUND(L861*K861,2)</f>
        <v>10.66</v>
      </c>
    </row>
    <row r="862" spans="1:13" x14ac:dyDescent="0.2">
      <c r="A862" s="1192"/>
      <c r="B862" s="1131"/>
      <c r="C862" s="1731" t="s">
        <v>1171</v>
      </c>
      <c r="D862" s="1737"/>
      <c r="E862" s="1737"/>
      <c r="F862" s="1737"/>
      <c r="G862" s="1737"/>
      <c r="H862" s="1737"/>
      <c r="I862" s="1737"/>
      <c r="J862" s="1737"/>
      <c r="K862" s="1307"/>
      <c r="L862" s="1159"/>
      <c r="M862" s="1154">
        <f>SUM(M859:M861)</f>
        <v>1568.85</v>
      </c>
    </row>
  </sheetData>
  <mergeCells count="724">
    <mergeCell ref="A347:M347"/>
    <mergeCell ref="A338:M338"/>
    <mergeCell ref="C350:I350"/>
    <mergeCell ref="C351:I351"/>
    <mergeCell ref="C359:I359"/>
    <mergeCell ref="C360:I360"/>
    <mergeCell ref="C376:I376"/>
    <mergeCell ref="C377:I377"/>
    <mergeCell ref="C378:I378"/>
    <mergeCell ref="C363:M363"/>
    <mergeCell ref="C364:K364"/>
    <mergeCell ref="A365:M365"/>
    <mergeCell ref="C370:J370"/>
    <mergeCell ref="C372:M372"/>
    <mergeCell ref="C373:K373"/>
    <mergeCell ref="A374:M374"/>
    <mergeCell ref="C352:J352"/>
    <mergeCell ref="C354:M354"/>
    <mergeCell ref="C355:K355"/>
    <mergeCell ref="A356:M356"/>
    <mergeCell ref="C361:J361"/>
    <mergeCell ref="C367:I367"/>
    <mergeCell ref="C358:I358"/>
    <mergeCell ref="C369:I369"/>
    <mergeCell ref="C368:I368"/>
    <mergeCell ref="C313:I313"/>
    <mergeCell ref="C314:I314"/>
    <mergeCell ref="C315:I315"/>
    <mergeCell ref="C331:I331"/>
    <mergeCell ref="C332:I332"/>
    <mergeCell ref="C333:I333"/>
    <mergeCell ref="C349:I349"/>
    <mergeCell ref="C318:M318"/>
    <mergeCell ref="C319:K319"/>
    <mergeCell ref="A320:M320"/>
    <mergeCell ref="C325:J325"/>
    <mergeCell ref="C327:M327"/>
    <mergeCell ref="C328:K328"/>
    <mergeCell ref="A329:M329"/>
    <mergeCell ref="C334:J334"/>
    <mergeCell ref="C336:M336"/>
    <mergeCell ref="C341:I341"/>
    <mergeCell ref="C342:I342"/>
    <mergeCell ref="C340:I340"/>
    <mergeCell ref="C323:I323"/>
    <mergeCell ref="C324:I324"/>
    <mergeCell ref="C322:I322"/>
    <mergeCell ref="C345:M345"/>
    <mergeCell ref="C346:K346"/>
    <mergeCell ref="C304:I304"/>
    <mergeCell ref="C262:J262"/>
    <mergeCell ref="C264:M264"/>
    <mergeCell ref="C265:K265"/>
    <mergeCell ref="C310:K310"/>
    <mergeCell ref="A311:M311"/>
    <mergeCell ref="C316:J316"/>
    <mergeCell ref="C251:I251"/>
    <mergeCell ref="C252:I252"/>
    <mergeCell ref="C260:I260"/>
    <mergeCell ref="C261:I261"/>
    <mergeCell ref="C270:I270"/>
    <mergeCell ref="C289:J289"/>
    <mergeCell ref="C291:M291"/>
    <mergeCell ref="C292:K292"/>
    <mergeCell ref="A293:M293"/>
    <mergeCell ref="C298:J298"/>
    <mergeCell ref="C300:M300"/>
    <mergeCell ref="C301:K301"/>
    <mergeCell ref="A302:M302"/>
    <mergeCell ref="C307:J307"/>
    <mergeCell ref="A275:M275"/>
    <mergeCell ref="C280:J280"/>
    <mergeCell ref="C255:M255"/>
    <mergeCell ref="C132:I132"/>
    <mergeCell ref="C133:I133"/>
    <mergeCell ref="C134:I134"/>
    <mergeCell ref="C150:I150"/>
    <mergeCell ref="C151:I151"/>
    <mergeCell ref="C152:I152"/>
    <mergeCell ref="C200:M200"/>
    <mergeCell ref="C201:K201"/>
    <mergeCell ref="A202:M202"/>
    <mergeCell ref="C173:M173"/>
    <mergeCell ref="C174:K174"/>
    <mergeCell ref="A175:M175"/>
    <mergeCell ref="C180:J180"/>
    <mergeCell ref="C182:M182"/>
    <mergeCell ref="C183:K183"/>
    <mergeCell ref="A184:M184"/>
    <mergeCell ref="C189:J189"/>
    <mergeCell ref="C191:M191"/>
    <mergeCell ref="C153:J153"/>
    <mergeCell ref="C155:M155"/>
    <mergeCell ref="C156:K156"/>
    <mergeCell ref="A157:M157"/>
    <mergeCell ref="C162:J162"/>
    <mergeCell ref="C164:M164"/>
    <mergeCell ref="C779:J779"/>
    <mergeCell ref="B576:L576"/>
    <mergeCell ref="C528:J528"/>
    <mergeCell ref="C525:I525"/>
    <mergeCell ref="C572:I572"/>
    <mergeCell ref="C573:I573"/>
    <mergeCell ref="C558:I558"/>
    <mergeCell ref="B539:L539"/>
    <mergeCell ref="C574:J574"/>
    <mergeCell ref="C569:I569"/>
    <mergeCell ref="C570:I570"/>
    <mergeCell ref="A568:M568"/>
    <mergeCell ref="C537:J537"/>
    <mergeCell ref="C549:J549"/>
    <mergeCell ref="C534:I534"/>
    <mergeCell ref="C535:I535"/>
    <mergeCell ref="C599:I599"/>
    <mergeCell ref="C600:I600"/>
    <mergeCell ref="C555:I555"/>
    <mergeCell ref="C609:J609"/>
    <mergeCell ref="A596:M596"/>
    <mergeCell ref="C586:I586"/>
    <mergeCell ref="C589:I589"/>
    <mergeCell ref="B551:L551"/>
    <mergeCell ref="A230:M230"/>
    <mergeCell ref="C235:J235"/>
    <mergeCell ref="C232:I232"/>
    <mergeCell ref="C233:I233"/>
    <mergeCell ref="C234:I234"/>
    <mergeCell ref="C237:M237"/>
    <mergeCell ref="C238:K238"/>
    <mergeCell ref="A239:M239"/>
    <mergeCell ref="C244:J244"/>
    <mergeCell ref="C246:M246"/>
    <mergeCell ref="C247:K247"/>
    <mergeCell ref="A248:M248"/>
    <mergeCell ref="C253:J253"/>
    <mergeCell ref="C309:M309"/>
    <mergeCell ref="C277:I277"/>
    <mergeCell ref="C278:I278"/>
    <mergeCell ref="C279:I279"/>
    <mergeCell ref="C306:I306"/>
    <mergeCell ref="C295:I295"/>
    <mergeCell ref="C296:I296"/>
    <mergeCell ref="C297:I297"/>
    <mergeCell ref="C250:I250"/>
    <mergeCell ref="C282:M282"/>
    <mergeCell ref="C283:K283"/>
    <mergeCell ref="A284:M284"/>
    <mergeCell ref="C256:K256"/>
    <mergeCell ref="A257:M257"/>
    <mergeCell ref="C268:I268"/>
    <mergeCell ref="C269:I269"/>
    <mergeCell ref="A266:M266"/>
    <mergeCell ref="C271:J271"/>
    <mergeCell ref="C273:M273"/>
    <mergeCell ref="C274:K274"/>
    <mergeCell ref="C170:I170"/>
    <mergeCell ref="A221:M221"/>
    <mergeCell ref="C179:I179"/>
    <mergeCell ref="C159:I159"/>
    <mergeCell ref="C160:I160"/>
    <mergeCell ref="C161:I161"/>
    <mergeCell ref="C343:J343"/>
    <mergeCell ref="C214:I214"/>
    <mergeCell ref="C215:I215"/>
    <mergeCell ref="C168:I168"/>
    <mergeCell ref="C177:I177"/>
    <mergeCell ref="C178:I178"/>
    <mergeCell ref="C186:I186"/>
    <mergeCell ref="C187:I187"/>
    <mergeCell ref="C188:I188"/>
    <mergeCell ref="C195:I195"/>
    <mergeCell ref="C196:I196"/>
    <mergeCell ref="C197:I197"/>
    <mergeCell ref="C223:I223"/>
    <mergeCell ref="C192:K192"/>
    <mergeCell ref="A193:M193"/>
    <mergeCell ref="C198:J198"/>
    <mergeCell ref="C208:J208"/>
    <mergeCell ref="A166:M166"/>
    <mergeCell ref="B855:M855"/>
    <mergeCell ref="C856:K856"/>
    <mergeCell ref="A857:M857"/>
    <mergeCell ref="C859:I859"/>
    <mergeCell ref="C860:I860"/>
    <mergeCell ref="C861:I861"/>
    <mergeCell ref="C862:J862"/>
    <mergeCell ref="A859:B859"/>
    <mergeCell ref="C840:M840"/>
    <mergeCell ref="C852:I852"/>
    <mergeCell ref="C845:I845"/>
    <mergeCell ref="C853:J853"/>
    <mergeCell ref="C844:I844"/>
    <mergeCell ref="C849:I849"/>
    <mergeCell ref="C850:I850"/>
    <mergeCell ref="C851:I851"/>
    <mergeCell ref="C846:I846"/>
    <mergeCell ref="C847:I847"/>
    <mergeCell ref="C848:I848"/>
    <mergeCell ref="C843:I843"/>
    <mergeCell ref="C790:J790"/>
    <mergeCell ref="C684:J684"/>
    <mergeCell ref="C730:J730"/>
    <mergeCell ref="C531:K531"/>
    <mergeCell ref="C837:J837"/>
    <mergeCell ref="A834:M834"/>
    <mergeCell ref="C833:K833"/>
    <mergeCell ref="B832:M832"/>
    <mergeCell ref="C827:I827"/>
    <mergeCell ref="C830:J830"/>
    <mergeCell ref="C567:K567"/>
    <mergeCell ref="C577:K577"/>
    <mergeCell ref="C595:K595"/>
    <mergeCell ref="B759:M759"/>
    <mergeCell ref="B770:M770"/>
    <mergeCell ref="B781:M781"/>
    <mergeCell ref="A578:M578"/>
    <mergeCell ref="C625:I625"/>
    <mergeCell ref="C621:K621"/>
    <mergeCell ref="C630:K630"/>
    <mergeCell ref="C639:K639"/>
    <mergeCell ref="C648:K648"/>
    <mergeCell ref="C657:K657"/>
    <mergeCell ref="C608:I608"/>
    <mergeCell ref="C804:K804"/>
    <mergeCell ref="B792:M792"/>
    <mergeCell ref="B803:M803"/>
    <mergeCell ref="C12:K12"/>
    <mergeCell ref="C20:K20"/>
    <mergeCell ref="C32:K32"/>
    <mergeCell ref="C47:K47"/>
    <mergeCell ref="C60:K60"/>
    <mergeCell ref="C69:K69"/>
    <mergeCell ref="C15:I15"/>
    <mergeCell ref="C16:I16"/>
    <mergeCell ref="C17:J17"/>
    <mergeCell ref="C41:I41"/>
    <mergeCell ref="C42:I42"/>
    <mergeCell ref="C627:J627"/>
    <mergeCell ref="C633:I633"/>
    <mergeCell ref="C634:I634"/>
    <mergeCell ref="B445:L445"/>
    <mergeCell ref="B464:L464"/>
    <mergeCell ref="B493:L493"/>
    <mergeCell ref="B512:L512"/>
    <mergeCell ref="C564:J564"/>
    <mergeCell ref="C626:I626"/>
    <mergeCell ref="C556:I556"/>
    <mergeCell ref="C11:M11"/>
    <mergeCell ref="C19:M19"/>
    <mergeCell ref="C31:M31"/>
    <mergeCell ref="C46:M46"/>
    <mergeCell ref="B403:L403"/>
    <mergeCell ref="B393:L393"/>
    <mergeCell ref="B411:L411"/>
    <mergeCell ref="B419:L419"/>
    <mergeCell ref="C57:J57"/>
    <mergeCell ref="A117:L117"/>
    <mergeCell ref="C119:M119"/>
    <mergeCell ref="C128:M128"/>
    <mergeCell ref="C120:K120"/>
    <mergeCell ref="C129:K129"/>
    <mergeCell ref="A121:M121"/>
    <mergeCell ref="A130:M130"/>
    <mergeCell ref="C123:I123"/>
    <mergeCell ref="C124:I124"/>
    <mergeCell ref="C125:I125"/>
    <mergeCell ref="A139:M139"/>
    <mergeCell ref="C169:I169"/>
    <mergeCell ref="C144:J144"/>
    <mergeCell ref="C165:K165"/>
    <mergeCell ref="C397:I397"/>
    <mergeCell ref="C785:I785"/>
    <mergeCell ref="C808:I808"/>
    <mergeCell ref="C809:I809"/>
    <mergeCell ref="C810:I810"/>
    <mergeCell ref="C811:I811"/>
    <mergeCell ref="A532:M532"/>
    <mergeCell ref="A541:M541"/>
    <mergeCell ref="A553:M553"/>
    <mergeCell ref="C601:I601"/>
    <mergeCell ref="C702:I702"/>
    <mergeCell ref="B686:M686"/>
    <mergeCell ref="B698:M698"/>
    <mergeCell ref="C681:I681"/>
    <mergeCell ref="C682:I682"/>
    <mergeCell ref="C683:I683"/>
    <mergeCell ref="C669:I669"/>
    <mergeCell ref="C674:I674"/>
    <mergeCell ref="C675:J675"/>
    <mergeCell ref="C624:I624"/>
    <mergeCell ref="B611:L611"/>
    <mergeCell ref="A649:M649"/>
    <mergeCell ref="C612:K612"/>
    <mergeCell ref="C618:J618"/>
    <mergeCell ref="C598:I598"/>
    <mergeCell ref="C473:I473"/>
    <mergeCell ref="C812:I812"/>
    <mergeCell ref="C813:I813"/>
    <mergeCell ref="C815:I815"/>
    <mergeCell ref="C719:I719"/>
    <mergeCell ref="C720:J720"/>
    <mergeCell ref="C800:I800"/>
    <mergeCell ref="C801:J801"/>
    <mergeCell ref="C795:I795"/>
    <mergeCell ref="C796:I796"/>
    <mergeCell ref="C797:I797"/>
    <mergeCell ref="C799:I799"/>
    <mergeCell ref="C793:K793"/>
    <mergeCell ref="C723:K723"/>
    <mergeCell ref="C733:K733"/>
    <mergeCell ref="C747:I747"/>
    <mergeCell ref="B750:M750"/>
    <mergeCell ref="C742:K742"/>
    <mergeCell ref="C738:I738"/>
    <mergeCell ref="A783:M783"/>
    <mergeCell ref="C789:I789"/>
    <mergeCell ref="C774:I774"/>
    <mergeCell ref="C775:I775"/>
    <mergeCell ref="C782:K782"/>
    <mergeCell ref="C562:I562"/>
    <mergeCell ref="C563:I563"/>
    <mergeCell ref="A536:B536"/>
    <mergeCell ref="C536:I536"/>
    <mergeCell ref="C543:I543"/>
    <mergeCell ref="B530:L530"/>
    <mergeCell ref="A466:M466"/>
    <mergeCell ref="C390:I390"/>
    <mergeCell ref="A431:M431"/>
    <mergeCell ref="A447:M447"/>
    <mergeCell ref="C399:I399"/>
    <mergeCell ref="C400:I400"/>
    <mergeCell ref="C415:I415"/>
    <mergeCell ref="C472:I472"/>
    <mergeCell ref="C497:I497"/>
    <mergeCell ref="C498:I498"/>
    <mergeCell ref="C486:I486"/>
    <mergeCell ref="C487:I487"/>
    <mergeCell ref="C488:I488"/>
    <mergeCell ref="C489:I489"/>
    <mergeCell ref="C484:I484"/>
    <mergeCell ref="C485:I485"/>
    <mergeCell ref="C483:I483"/>
    <mergeCell ref="C455:I455"/>
    <mergeCell ref="C571:I571"/>
    <mergeCell ref="B566:L566"/>
    <mergeCell ref="C557:I557"/>
    <mergeCell ref="C507:I507"/>
    <mergeCell ref="C508:I508"/>
    <mergeCell ref="C509:I509"/>
    <mergeCell ref="C510:J510"/>
    <mergeCell ref="C516:I516"/>
    <mergeCell ref="C517:I517"/>
    <mergeCell ref="C526:I526"/>
    <mergeCell ref="C527:I527"/>
    <mergeCell ref="C519:J519"/>
    <mergeCell ref="C513:K513"/>
    <mergeCell ref="A514:M514"/>
    <mergeCell ref="A523:M523"/>
    <mergeCell ref="C544:I544"/>
    <mergeCell ref="C545:I545"/>
    <mergeCell ref="C546:I546"/>
    <mergeCell ref="C547:I547"/>
    <mergeCell ref="C548:I548"/>
    <mergeCell ref="C559:I559"/>
    <mergeCell ref="C560:I560"/>
    <mergeCell ref="C561:I561"/>
    <mergeCell ref="C540:K540"/>
    <mergeCell ref="C99:I99"/>
    <mergeCell ref="C100:I100"/>
    <mergeCell ref="C101:I101"/>
    <mergeCell ref="A383:M383"/>
    <mergeCell ref="C471:I471"/>
    <mergeCell ref="C458:I458"/>
    <mergeCell ref="C465:K465"/>
    <mergeCell ref="C470:I470"/>
    <mergeCell ref="C468:I468"/>
    <mergeCell ref="C469:I469"/>
    <mergeCell ref="C206:I206"/>
    <mergeCell ref="C207:I207"/>
    <mergeCell ref="C453:I453"/>
    <mergeCell ref="C459:I459"/>
    <mergeCell ref="C460:I460"/>
    <mergeCell ref="C457:I457"/>
    <mergeCell ref="C462:J462"/>
    <mergeCell ref="C461:I461"/>
    <mergeCell ref="C446:K446"/>
    <mergeCell ref="C451:I451"/>
    <mergeCell ref="C452:I452"/>
    <mergeCell ref="C454:I454"/>
    <mergeCell ref="A395:M395"/>
    <mergeCell ref="C146:M146"/>
    <mergeCell ref="A9:M9"/>
    <mergeCell ref="K6:M6"/>
    <mergeCell ref="A6:B7"/>
    <mergeCell ref="C6:H7"/>
    <mergeCell ref="I5:J6"/>
    <mergeCell ref="A2:B2"/>
    <mergeCell ref="A3:B3"/>
    <mergeCell ref="A4:B4"/>
    <mergeCell ref="A5:B5"/>
    <mergeCell ref="A1:M1"/>
    <mergeCell ref="K5:M5"/>
    <mergeCell ref="I7:J7"/>
    <mergeCell ref="K7:M7"/>
    <mergeCell ref="C5:H5"/>
    <mergeCell ref="C2:H2"/>
    <mergeCell ref="I2:J2"/>
    <mergeCell ref="C3:M3"/>
    <mergeCell ref="C4:M4"/>
    <mergeCell ref="K2:M2"/>
    <mergeCell ref="C135:J135"/>
    <mergeCell ref="C137:M137"/>
    <mergeCell ref="C138:K138"/>
    <mergeCell ref="C126:J126"/>
    <mergeCell ref="C141:I141"/>
    <mergeCell ref="C142:I142"/>
    <mergeCell ref="C143:I143"/>
    <mergeCell ref="C456:I456"/>
    <mergeCell ref="C449:I449"/>
    <mergeCell ref="C450:I450"/>
    <mergeCell ref="C407:I407"/>
    <mergeCell ref="C147:K147"/>
    <mergeCell ref="A148:M148"/>
    <mergeCell ref="C220:K220"/>
    <mergeCell ref="C241:I241"/>
    <mergeCell ref="C242:I242"/>
    <mergeCell ref="C243:I243"/>
    <mergeCell ref="C204:I204"/>
    <mergeCell ref="C305:I305"/>
    <mergeCell ref="C210:M210"/>
    <mergeCell ref="C211:K211"/>
    <mergeCell ref="A212:M212"/>
    <mergeCell ref="C217:J217"/>
    <mergeCell ref="C219:M219"/>
    <mergeCell ref="C171:J171"/>
    <mergeCell ref="C337:K337"/>
    <mergeCell ref="C259:I259"/>
    <mergeCell ref="C398:I398"/>
    <mergeCell ref="C404:K404"/>
    <mergeCell ref="B381:M381"/>
    <mergeCell ref="C384:I384"/>
    <mergeCell ref="C385:I385"/>
    <mergeCell ref="C386:I386"/>
    <mergeCell ref="C387:I387"/>
    <mergeCell ref="C388:I388"/>
    <mergeCell ref="C389:I389"/>
    <mergeCell ref="A391:L391"/>
    <mergeCell ref="C394:K394"/>
    <mergeCell ref="C205:I205"/>
    <mergeCell ref="C216:I216"/>
    <mergeCell ref="C224:I224"/>
    <mergeCell ref="C225:I225"/>
    <mergeCell ref="C226:J226"/>
    <mergeCell ref="C228:M228"/>
    <mergeCell ref="C229:K229"/>
    <mergeCell ref="C286:I286"/>
    <mergeCell ref="C287:I287"/>
    <mergeCell ref="C288:I288"/>
    <mergeCell ref="C72:I72"/>
    <mergeCell ref="B104:M104"/>
    <mergeCell ref="C107:I107"/>
    <mergeCell ref="C85:I85"/>
    <mergeCell ref="C65:I65"/>
    <mergeCell ref="A102:L102"/>
    <mergeCell ref="C95:I95"/>
    <mergeCell ref="C96:I96"/>
    <mergeCell ref="C97:I97"/>
    <mergeCell ref="C75:I75"/>
    <mergeCell ref="A76:L76"/>
    <mergeCell ref="B78:M78"/>
    <mergeCell ref="A80:M80"/>
    <mergeCell ref="A66:L66"/>
    <mergeCell ref="C79:K79"/>
    <mergeCell ref="C90:K90"/>
    <mergeCell ref="C105:K105"/>
    <mergeCell ref="C81:I81"/>
    <mergeCell ref="C82:I82"/>
    <mergeCell ref="C84:I84"/>
    <mergeCell ref="C92:I92"/>
    <mergeCell ref="C93:I93"/>
    <mergeCell ref="C94:I94"/>
    <mergeCell ref="C98:I98"/>
    <mergeCell ref="C55:I55"/>
    <mergeCell ref="C56:I56"/>
    <mergeCell ref="C52:I52"/>
    <mergeCell ref="C53:I53"/>
    <mergeCell ref="C38:I38"/>
    <mergeCell ref="C37:I37"/>
    <mergeCell ref="A40:B40"/>
    <mergeCell ref="C44:J44"/>
    <mergeCell ref="C39:I39"/>
    <mergeCell ref="C40:I40"/>
    <mergeCell ref="C43:I43"/>
    <mergeCell ref="A405:M405"/>
    <mergeCell ref="A413:M413"/>
    <mergeCell ref="B68:M68"/>
    <mergeCell ref="A70:M70"/>
    <mergeCell ref="B89:M89"/>
    <mergeCell ref="C71:I71"/>
    <mergeCell ref="C86:I86"/>
    <mergeCell ref="A87:L87"/>
    <mergeCell ref="C83:I83"/>
    <mergeCell ref="C73:I73"/>
    <mergeCell ref="C74:I74"/>
    <mergeCell ref="C401:J401"/>
    <mergeCell ref="C108:I108"/>
    <mergeCell ref="C109:I109"/>
    <mergeCell ref="C110:I110"/>
    <mergeCell ref="C111:I111"/>
    <mergeCell ref="C112:I112"/>
    <mergeCell ref="C113:I113"/>
    <mergeCell ref="C114:I114"/>
    <mergeCell ref="C115:I115"/>
    <mergeCell ref="C116:I116"/>
    <mergeCell ref="C382:K382"/>
    <mergeCell ref="C408:I408"/>
    <mergeCell ref="C409:J409"/>
    <mergeCell ref="B656:L656"/>
    <mergeCell ref="C635:I635"/>
    <mergeCell ref="C636:J636"/>
    <mergeCell ref="C642:I642"/>
    <mergeCell ref="C643:I643"/>
    <mergeCell ref="C644:I644"/>
    <mergeCell ref="C645:J645"/>
    <mergeCell ref="B638:L638"/>
    <mergeCell ref="A640:M640"/>
    <mergeCell ref="C662:I662"/>
    <mergeCell ref="C661:I661"/>
    <mergeCell ref="C379:J379"/>
    <mergeCell ref="C673:I673"/>
    <mergeCell ref="C666:K666"/>
    <mergeCell ref="A745:B745"/>
    <mergeCell ref="C745:I745"/>
    <mergeCell ref="A658:M658"/>
    <mergeCell ref="A667:M667"/>
    <mergeCell ref="C729:I729"/>
    <mergeCell ref="C718:I718"/>
    <mergeCell ref="B710:M710"/>
    <mergeCell ref="C707:I707"/>
    <mergeCell ref="C691:I691"/>
    <mergeCell ref="C692:I692"/>
    <mergeCell ref="A688:M688"/>
    <mergeCell ref="A700:M700"/>
    <mergeCell ref="C687:K687"/>
    <mergeCell ref="C699:K699"/>
    <mergeCell ref="C690:I690"/>
    <mergeCell ref="C703:I703"/>
    <mergeCell ref="C704:I704"/>
    <mergeCell ref="C705:I705"/>
    <mergeCell ref="B647:L647"/>
    <mergeCell ref="B59:M59"/>
    <mergeCell ref="C670:I670"/>
    <mergeCell ref="C671:I671"/>
    <mergeCell ref="C672:I672"/>
    <mergeCell ref="B665:M665"/>
    <mergeCell ref="C615:I615"/>
    <mergeCell ref="C616:I616"/>
    <mergeCell ref="C617:I617"/>
    <mergeCell ref="B620:L620"/>
    <mergeCell ref="B629:L629"/>
    <mergeCell ref="A631:M631"/>
    <mergeCell ref="C651:I651"/>
    <mergeCell ref="C652:I652"/>
    <mergeCell ref="C653:I653"/>
    <mergeCell ref="C654:J654"/>
    <mergeCell ref="C660:I660"/>
    <mergeCell ref="B476:L476"/>
    <mergeCell ref="C482:I482"/>
    <mergeCell ref="C474:J474"/>
    <mergeCell ref="C480:I480"/>
    <mergeCell ref="C481:I481"/>
    <mergeCell ref="A478:M478"/>
    <mergeCell ref="C477:K477"/>
    <mergeCell ref="C663:J663"/>
    <mergeCell ref="A13:M13"/>
    <mergeCell ref="A21:M21"/>
    <mergeCell ref="A33:M33"/>
    <mergeCell ref="A48:M48"/>
    <mergeCell ref="A91:M91"/>
    <mergeCell ref="A106:M106"/>
    <mergeCell ref="A35:B35"/>
    <mergeCell ref="C23:I23"/>
    <mergeCell ref="C24:I24"/>
    <mergeCell ref="C25:I25"/>
    <mergeCell ref="C26:I26"/>
    <mergeCell ref="C27:I27"/>
    <mergeCell ref="C28:I28"/>
    <mergeCell ref="C29:J29"/>
    <mergeCell ref="C35:I35"/>
    <mergeCell ref="A61:M61"/>
    <mergeCell ref="C62:I62"/>
    <mergeCell ref="C63:I63"/>
    <mergeCell ref="C64:I64"/>
    <mergeCell ref="A36:B36"/>
    <mergeCell ref="C36:I36"/>
    <mergeCell ref="C50:I50"/>
    <mergeCell ref="C51:I51"/>
    <mergeCell ref="C54:I54"/>
    <mergeCell ref="C436:I436"/>
    <mergeCell ref="C443:J443"/>
    <mergeCell ref="C437:I437"/>
    <mergeCell ref="C438:I438"/>
    <mergeCell ref="C424:I424"/>
    <mergeCell ref="C439:I439"/>
    <mergeCell ref="C412:K412"/>
    <mergeCell ref="C420:K420"/>
    <mergeCell ref="C430:K430"/>
    <mergeCell ref="C433:I433"/>
    <mergeCell ref="C434:I434"/>
    <mergeCell ref="C435:I435"/>
    <mergeCell ref="C423:I423"/>
    <mergeCell ref="B429:L429"/>
    <mergeCell ref="C427:J427"/>
    <mergeCell ref="C416:I416"/>
    <mergeCell ref="C417:J417"/>
    <mergeCell ref="A421:M421"/>
    <mergeCell ref="C425:I425"/>
    <mergeCell ref="C426:I426"/>
    <mergeCell ref="C440:I440"/>
    <mergeCell ref="C441:I441"/>
    <mergeCell ref="C442:I442"/>
    <mergeCell ref="C504:I504"/>
    <mergeCell ref="C505:I505"/>
    <mergeCell ref="C506:I506"/>
    <mergeCell ref="C503:I503"/>
    <mergeCell ref="C490:I490"/>
    <mergeCell ref="C494:K494"/>
    <mergeCell ref="C501:I501"/>
    <mergeCell ref="C502:I502"/>
    <mergeCell ref="C522:K522"/>
    <mergeCell ref="C518:I518"/>
    <mergeCell ref="C499:I499"/>
    <mergeCell ref="C500:I500"/>
    <mergeCell ref="C491:J491"/>
    <mergeCell ref="A495:M495"/>
    <mergeCell ref="B521:L521"/>
    <mergeCell ref="C552:K552"/>
    <mergeCell ref="C746:I746"/>
    <mergeCell ref="C579:I579"/>
    <mergeCell ref="C587:I587"/>
    <mergeCell ref="C580:I580"/>
    <mergeCell ref="C581:I581"/>
    <mergeCell ref="C582:I582"/>
    <mergeCell ref="C583:I583"/>
    <mergeCell ref="C605:I605"/>
    <mergeCell ref="C606:I606"/>
    <mergeCell ref="C607:I607"/>
    <mergeCell ref="B594:L594"/>
    <mergeCell ref="C604:I604"/>
    <mergeCell ref="C592:J592"/>
    <mergeCell ref="C584:I584"/>
    <mergeCell ref="C585:I585"/>
    <mergeCell ref="C590:I590"/>
    <mergeCell ref="C591:I591"/>
    <mergeCell ref="C602:I602"/>
    <mergeCell ref="C603:I603"/>
    <mergeCell ref="C693:I693"/>
    <mergeCell ref="C694:I694"/>
    <mergeCell ref="C708:J708"/>
    <mergeCell ref="A613:M613"/>
    <mergeCell ref="C756:I756"/>
    <mergeCell ref="C757:J757"/>
    <mergeCell ref="C760:K760"/>
    <mergeCell ref="C771:K771"/>
    <mergeCell ref="A724:M724"/>
    <mergeCell ref="A734:M734"/>
    <mergeCell ref="A743:M743"/>
    <mergeCell ref="B732:M732"/>
    <mergeCell ref="C766:I766"/>
    <mergeCell ref="C767:I767"/>
    <mergeCell ref="C768:J768"/>
    <mergeCell ref="C763:I763"/>
    <mergeCell ref="C764:I764"/>
    <mergeCell ref="C765:I765"/>
    <mergeCell ref="A754:B754"/>
    <mergeCell ref="C754:I754"/>
    <mergeCell ref="C755:I755"/>
    <mergeCell ref="A622:M622"/>
    <mergeCell ref="C751:K751"/>
    <mergeCell ref="B741:M741"/>
    <mergeCell ref="A736:B736"/>
    <mergeCell ref="C736:I736"/>
    <mergeCell ref="C737:I737"/>
    <mergeCell ref="C696:J696"/>
    <mergeCell ref="C695:I695"/>
    <mergeCell ref="C711:K711"/>
    <mergeCell ref="C728:I728"/>
    <mergeCell ref="C722:M722"/>
    <mergeCell ref="C726:I726"/>
    <mergeCell ref="A727:B727"/>
    <mergeCell ref="C727:I727"/>
    <mergeCell ref="C739:J739"/>
    <mergeCell ref="C715:I715"/>
    <mergeCell ref="C716:I716"/>
    <mergeCell ref="C717:I717"/>
    <mergeCell ref="A679:M679"/>
    <mergeCell ref="C678:K678"/>
    <mergeCell ref="B677:M677"/>
    <mergeCell ref="C748:J748"/>
    <mergeCell ref="C714:I714"/>
    <mergeCell ref="C706:I706"/>
    <mergeCell ref="C786:I786"/>
    <mergeCell ref="C787:I787"/>
    <mergeCell ref="C788:I788"/>
    <mergeCell ref="A712:M712"/>
    <mergeCell ref="C825:I825"/>
    <mergeCell ref="C829:I829"/>
    <mergeCell ref="B820:M820"/>
    <mergeCell ref="C821:K821"/>
    <mergeCell ref="A822:M822"/>
    <mergeCell ref="C824:I824"/>
    <mergeCell ref="C826:I826"/>
    <mergeCell ref="C814:I814"/>
    <mergeCell ref="A794:M794"/>
    <mergeCell ref="C816:I816"/>
    <mergeCell ref="A805:M805"/>
    <mergeCell ref="C817:I817"/>
    <mergeCell ref="C818:J818"/>
    <mergeCell ref="C807:I807"/>
    <mergeCell ref="C776:I776"/>
    <mergeCell ref="C777:I777"/>
    <mergeCell ref="C778:I778"/>
    <mergeCell ref="A752:M752"/>
    <mergeCell ref="A761:M761"/>
    <mergeCell ref="A772:M772"/>
  </mergeCells>
  <phoneticPr fontId="4" type="noConversion"/>
  <pageMargins left="0.51181102362204722" right="0.51181102362204722" top="0.78740157480314965" bottom="0.78740157480314965" header="0.31496062992125984" footer="0.31496062992125984"/>
  <pageSetup paperSize="9"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9"/>
  <sheetViews>
    <sheetView view="pageBreakPreview" topLeftCell="A479" zoomScale="85" zoomScaleNormal="100" zoomScaleSheetLayoutView="85" workbookViewId="0">
      <selection activeCell="I488" sqref="I488"/>
    </sheetView>
  </sheetViews>
  <sheetFormatPr defaultColWidth="9.140625" defaultRowHeight="12.75" outlineLevelRow="1" x14ac:dyDescent="0.2"/>
  <cols>
    <col min="1" max="1" width="15.28515625" style="80" customWidth="1"/>
    <col min="2" max="2" width="13.85546875" style="80" customWidth="1"/>
    <col min="3" max="3" width="16.7109375" style="80" customWidth="1"/>
    <col min="4" max="4" width="67.85546875" style="81" customWidth="1"/>
    <col min="5" max="5" width="11" style="82" customWidth="1"/>
    <col min="6" max="6" width="12.28515625" style="83" customWidth="1"/>
    <col min="7" max="7" width="13" style="82" customWidth="1"/>
    <col min="8" max="8" width="16.5703125" style="82" customWidth="1"/>
    <col min="9" max="9" width="18.7109375" style="84" customWidth="1"/>
    <col min="10" max="10" width="9.28515625" style="80" customWidth="1"/>
    <col min="11" max="11" width="13.28515625" style="80" customWidth="1"/>
    <col min="12" max="12" width="14" style="80" bestFit="1" customWidth="1"/>
    <col min="13" max="13" width="14.85546875" style="80" customWidth="1"/>
    <col min="14" max="14" width="17.28515625" style="80" bestFit="1" customWidth="1"/>
    <col min="15" max="15" width="11.28515625" style="80" customWidth="1"/>
    <col min="16" max="16" width="12" style="80" bestFit="1" customWidth="1"/>
    <col min="17" max="17" width="13.140625" style="80" bestFit="1" customWidth="1"/>
    <col min="18" max="16384" width="9.140625" style="80"/>
  </cols>
  <sheetData>
    <row r="1" spans="1:17" ht="75.75" customHeight="1" x14ac:dyDescent="0.2">
      <c r="A1" s="1777" t="s">
        <v>670</v>
      </c>
      <c r="B1" s="1777"/>
      <c r="C1" s="1777"/>
      <c r="D1" s="1777"/>
      <c r="E1" s="1777"/>
      <c r="F1" s="1777"/>
      <c r="G1" s="1777"/>
      <c r="H1" s="1777"/>
      <c r="I1" s="1777"/>
      <c r="J1" s="1777"/>
    </row>
    <row r="2" spans="1:17" customFormat="1" ht="15" x14ac:dyDescent="0.2">
      <c r="A2" s="326" t="s">
        <v>126</v>
      </c>
      <c r="B2" s="1704" t="s">
        <v>226</v>
      </c>
      <c r="C2" s="1705"/>
      <c r="D2" s="1705"/>
      <c r="E2" s="1705"/>
      <c r="F2" s="1706"/>
      <c r="G2" s="1707" t="s">
        <v>136</v>
      </c>
      <c r="H2" s="1708"/>
      <c r="I2" s="327" t="s">
        <v>227</v>
      </c>
      <c r="J2" s="328"/>
      <c r="K2" s="329"/>
    </row>
    <row r="3" spans="1:17" customFormat="1" ht="15" customHeight="1" x14ac:dyDescent="0.2">
      <c r="A3" s="326" t="s">
        <v>127</v>
      </c>
      <c r="B3" s="1836" t="s">
        <v>778</v>
      </c>
      <c r="C3" s="1836"/>
      <c r="D3" s="1836"/>
      <c r="E3" s="1836"/>
      <c r="F3" s="1836"/>
      <c r="G3" s="1836"/>
      <c r="H3" s="1836"/>
      <c r="I3" s="1836"/>
      <c r="J3" s="1836"/>
      <c r="K3" s="329"/>
    </row>
    <row r="4" spans="1:17" customFormat="1" ht="15" x14ac:dyDescent="0.2">
      <c r="A4" s="326" t="s">
        <v>228</v>
      </c>
      <c r="B4" s="1848" t="s">
        <v>444</v>
      </c>
      <c r="C4" s="1848"/>
      <c r="D4" s="1848"/>
      <c r="E4" s="1848"/>
      <c r="F4" s="1848"/>
      <c r="G4" s="1848"/>
      <c r="H4" s="1848"/>
      <c r="I4" s="1848"/>
      <c r="J4" s="1848"/>
      <c r="K4" s="342"/>
      <c r="L4" s="343"/>
    </row>
    <row r="5" spans="1:17" customFormat="1" ht="17.25" customHeight="1" x14ac:dyDescent="0.2">
      <c r="A5" s="334" t="s">
        <v>128</v>
      </c>
      <c r="B5" s="1851">
        <f>BDI!I24</f>
        <v>0.28820000000000001</v>
      </c>
      <c r="C5" s="1851"/>
      <c r="D5" s="1851"/>
      <c r="E5" s="1837" t="s">
        <v>103</v>
      </c>
      <c r="F5" s="1838"/>
      <c r="G5" s="1849" t="s">
        <v>1286</v>
      </c>
      <c r="H5" s="1850"/>
      <c r="I5" s="1850"/>
      <c r="J5" s="1850"/>
      <c r="K5" s="329"/>
    </row>
    <row r="6" spans="1:17" customFormat="1" ht="15" customHeight="1" x14ac:dyDescent="0.2">
      <c r="A6" s="1694" t="s">
        <v>129</v>
      </c>
      <c r="B6" s="1836" t="s">
        <v>441</v>
      </c>
      <c r="C6" s="1836"/>
      <c r="D6" s="1836"/>
      <c r="E6" s="1715"/>
      <c r="F6" s="1716"/>
      <c r="G6" s="1849" t="s">
        <v>1287</v>
      </c>
      <c r="H6" s="1850"/>
      <c r="I6" s="1850"/>
      <c r="J6" s="1850"/>
      <c r="K6" s="331"/>
    </row>
    <row r="7" spans="1:17" customFormat="1" ht="15" x14ac:dyDescent="0.2">
      <c r="A7" s="1695"/>
      <c r="B7" s="1836"/>
      <c r="C7" s="1836"/>
      <c r="D7" s="1836"/>
      <c r="E7" s="1700" t="s">
        <v>130</v>
      </c>
      <c r="F7" s="1701"/>
      <c r="G7" s="1702" t="s">
        <v>442</v>
      </c>
      <c r="H7" s="1703"/>
      <c r="I7" s="1703"/>
      <c r="J7" s="1703"/>
      <c r="K7" s="329"/>
    </row>
    <row r="8" spans="1:17" ht="8.25" customHeight="1" thickBot="1" x14ac:dyDescent="0.25">
      <c r="A8" s="332"/>
      <c r="B8" s="332"/>
      <c r="C8" s="332"/>
      <c r="D8" s="332"/>
      <c r="E8" s="332"/>
      <c r="F8" s="332"/>
      <c r="G8" s="332"/>
      <c r="H8" s="332"/>
      <c r="I8" s="332"/>
      <c r="J8" s="333"/>
    </row>
    <row r="9" spans="1:17" ht="15.75" thickBot="1" x14ac:dyDescent="0.25">
      <c r="A9" s="1845" t="s">
        <v>280</v>
      </c>
      <c r="B9" s="1846"/>
      <c r="C9" s="1846"/>
      <c r="D9" s="1846"/>
      <c r="E9" s="1846"/>
      <c r="F9" s="1846"/>
      <c r="G9" s="1846"/>
      <c r="H9" s="1846"/>
      <c r="I9" s="1846"/>
      <c r="J9" s="1847"/>
    </row>
    <row r="10" spans="1:17" ht="8.25" customHeight="1" thickBot="1" x14ac:dyDescent="0.25"/>
    <row r="11" spans="1:17" ht="26.25" thickBot="1" x14ac:dyDescent="0.25">
      <c r="A11" s="85" t="s">
        <v>32</v>
      </c>
      <c r="B11" s="85" t="s">
        <v>281</v>
      </c>
      <c r="C11" s="85" t="s">
        <v>92</v>
      </c>
      <c r="D11" s="85" t="s">
        <v>33</v>
      </c>
      <c r="E11" s="85" t="s">
        <v>34</v>
      </c>
      <c r="F11" s="86" t="s">
        <v>35</v>
      </c>
      <c r="G11" s="87" t="s">
        <v>36</v>
      </c>
      <c r="H11" s="87" t="s">
        <v>68</v>
      </c>
      <c r="I11" s="88" t="s">
        <v>37</v>
      </c>
      <c r="J11" s="90" t="s">
        <v>67</v>
      </c>
      <c r="K11" s="1562">
        <f>ROUND(1+B5,4)</f>
        <v>1.2882</v>
      </c>
    </row>
    <row r="12" spans="1:17" ht="13.5" thickBot="1" x14ac:dyDescent="0.25"/>
    <row r="13" spans="1:17" s="93" customFormat="1" ht="13.5" thickBot="1" x14ac:dyDescent="0.25">
      <c r="A13" s="640">
        <v>1</v>
      </c>
      <c r="B13" s="641"/>
      <c r="C13" s="641"/>
      <c r="D13" s="1842" t="s">
        <v>448</v>
      </c>
      <c r="E13" s="1843"/>
      <c r="F13" s="1843"/>
      <c r="G13" s="1843"/>
      <c r="H13" s="1843"/>
      <c r="I13" s="1844"/>
      <c r="J13" s="642">
        <f>I15/$I$488</f>
        <v>1.861332024659108E-2</v>
      </c>
      <c r="Q13" s="643"/>
    </row>
    <row r="14" spans="1:17" s="166" customFormat="1" ht="25.5" x14ac:dyDescent="0.2">
      <c r="A14" s="630" t="s">
        <v>1</v>
      </c>
      <c r="B14" s="1833" t="str">
        <f>COMPOSIÇÕES!A13</f>
        <v>COMPOSIÇÃO 1</v>
      </c>
      <c r="C14" s="1834"/>
      <c r="D14" s="396" t="str">
        <f>COMPOSIÇÕES!C12</f>
        <v>ADMINISTRAÇÃO DA OBRA COM ENGENHEIRO CIVIL JUNIOR E ENCARREGADO GERAL</v>
      </c>
      <c r="E14" s="69" t="s">
        <v>96</v>
      </c>
      <c r="F14" s="868">
        <f>'ADM. LOC. 1'!C25</f>
        <v>1</v>
      </c>
      <c r="G14" s="659">
        <f>COMPOSIÇÕES!M17</f>
        <v>53881.919999999998</v>
      </c>
      <c r="H14" s="313">
        <f>ROUND((G14*$K$11),2)</f>
        <v>69410.69</v>
      </c>
      <c r="I14" s="644">
        <f>ROUND(((F14*H14)),2)</f>
        <v>69410.69</v>
      </c>
      <c r="J14" s="645"/>
      <c r="K14" s="751">
        <f>I14/$I$488</f>
        <v>1.861332024659108E-2</v>
      </c>
    </row>
    <row r="15" spans="1:17" s="93" customFormat="1" ht="13.5" customHeight="1" x14ac:dyDescent="0.2">
      <c r="A15" s="1817" t="s">
        <v>1146</v>
      </c>
      <c r="B15" s="1818"/>
      <c r="C15" s="1818"/>
      <c r="D15" s="1818"/>
      <c r="E15" s="1818"/>
      <c r="F15" s="1818"/>
      <c r="G15" s="1818"/>
      <c r="H15" s="1819"/>
      <c r="I15" s="139">
        <f>SUM(I14:I14)</f>
        <v>69410.69</v>
      </c>
      <c r="J15" s="166"/>
      <c r="K15" s="751"/>
    </row>
    <row r="16" spans="1:17" s="93" customFormat="1" ht="13.5" customHeight="1" thickBot="1" x14ac:dyDescent="0.25">
      <c r="A16" s="1121"/>
      <c r="B16" s="1121"/>
      <c r="C16" s="1121"/>
      <c r="D16" s="1121"/>
      <c r="E16" s="1121"/>
      <c r="F16" s="1121"/>
      <c r="G16" s="1121"/>
      <c r="H16" s="1122"/>
      <c r="I16" s="661"/>
      <c r="J16" s="166"/>
      <c r="K16" s="751"/>
    </row>
    <row r="17" spans="1:17" ht="13.5" thickBot="1" x14ac:dyDescent="0.25">
      <c r="A17" s="90">
        <v>2</v>
      </c>
      <c r="B17" s="91"/>
      <c r="C17" s="90"/>
      <c r="D17" s="1839" t="s">
        <v>38</v>
      </c>
      <c r="E17" s="1840"/>
      <c r="F17" s="1840"/>
      <c r="G17" s="1840"/>
      <c r="H17" s="1840"/>
      <c r="I17" s="1841"/>
      <c r="J17" s="260">
        <f>I22/$I$488</f>
        <v>3.3486534640944556E-3</v>
      </c>
      <c r="K17" s="751"/>
    </row>
    <row r="18" spans="1:17" ht="12.75" customHeight="1" x14ac:dyDescent="0.2">
      <c r="A18" s="17" t="s">
        <v>3</v>
      </c>
      <c r="B18" s="958" t="s">
        <v>621</v>
      </c>
      <c r="C18" s="958">
        <v>11340</v>
      </c>
      <c r="D18" s="18" t="s">
        <v>869</v>
      </c>
      <c r="E18" s="96" t="s">
        <v>0</v>
      </c>
      <c r="F18" s="893">
        <f>SER.PREL.2!C17</f>
        <v>6</v>
      </c>
      <c r="G18" s="313">
        <v>176.27</v>
      </c>
      <c r="H18" s="138">
        <f>ROUND((G18*$K$11),2)</f>
        <v>227.07</v>
      </c>
      <c r="I18" s="138">
        <f>ROUND(((F18*H18)),2)</f>
        <v>1362.42</v>
      </c>
      <c r="K18" s="751">
        <f>I18/$I$488</f>
        <v>3.6534948392474734E-4</v>
      </c>
    </row>
    <row r="19" spans="1:17" x14ac:dyDescent="0.2">
      <c r="A19" s="958" t="s">
        <v>4</v>
      </c>
      <c r="B19" s="822" t="s">
        <v>621</v>
      </c>
      <c r="C19" s="822">
        <v>10009</v>
      </c>
      <c r="D19" s="16" t="s">
        <v>658</v>
      </c>
      <c r="E19" s="96" t="s">
        <v>0</v>
      </c>
      <c r="F19" s="322">
        <f>SER.PREL.2!C25</f>
        <v>226.48000000000002</v>
      </c>
      <c r="G19" s="162">
        <v>4.87</v>
      </c>
      <c r="H19" s="138">
        <f>ROUND((G19*$K$11),2)</f>
        <v>6.27</v>
      </c>
      <c r="I19" s="138">
        <f>ROUND(((F19*H19)),2)</f>
        <v>1420.03</v>
      </c>
      <c r="K19" s="751">
        <f>I19/$I$488</f>
        <v>3.8079830570430482E-4</v>
      </c>
      <c r="M19" s="89"/>
    </row>
    <row r="20" spans="1:17" ht="13.5" customHeight="1" x14ac:dyDescent="0.2">
      <c r="A20" s="958" t="s">
        <v>5</v>
      </c>
      <c r="B20" s="822" t="s">
        <v>621</v>
      </c>
      <c r="C20" s="822">
        <v>10005</v>
      </c>
      <c r="D20" s="11" t="s">
        <v>251</v>
      </c>
      <c r="E20" s="51" t="s">
        <v>6</v>
      </c>
      <c r="F20" s="10">
        <f>SER.PREL.2!C32</f>
        <v>16.25</v>
      </c>
      <c r="G20" s="162">
        <v>287.22000000000003</v>
      </c>
      <c r="H20" s="138">
        <f>ROUND((G20*$K$11),2)</f>
        <v>370</v>
      </c>
      <c r="I20" s="138">
        <f>ROUND(((F20*H20)),2)</f>
        <v>6012.5</v>
      </c>
      <c r="K20" s="751">
        <f>I20/$I$488</f>
        <v>1.6123249600692468E-3</v>
      </c>
    </row>
    <row r="21" spans="1:17" x14ac:dyDescent="0.2">
      <c r="A21" s="958" t="s">
        <v>1517</v>
      </c>
      <c r="B21" s="958" t="s">
        <v>621</v>
      </c>
      <c r="C21" s="958">
        <v>11170</v>
      </c>
      <c r="D21" s="16" t="s">
        <v>1736</v>
      </c>
      <c r="E21" s="96" t="s">
        <v>362</v>
      </c>
      <c r="F21" s="322">
        <f>SER.PREL.2!C36</f>
        <v>1</v>
      </c>
      <c r="G21" s="162">
        <v>2866.38</v>
      </c>
      <c r="H21" s="138">
        <f t="shared" ref="H21" si="0">ROUND((G21*$K$11),2)</f>
        <v>3692.47</v>
      </c>
      <c r="I21" s="138">
        <f t="shared" ref="I21" si="1">ROUND(((F21*H21)),2)</f>
        <v>3692.47</v>
      </c>
      <c r="K21" s="751"/>
      <c r="M21" s="89"/>
    </row>
    <row r="22" spans="1:17" s="92" customFormat="1" ht="12.75" customHeight="1" x14ac:dyDescent="0.2">
      <c r="A22" s="1817" t="s">
        <v>1147</v>
      </c>
      <c r="B22" s="1818"/>
      <c r="C22" s="1818"/>
      <c r="D22" s="1818"/>
      <c r="E22" s="1818"/>
      <c r="F22" s="1818"/>
      <c r="G22" s="1818"/>
      <c r="H22" s="1819"/>
      <c r="I22" s="139">
        <f>SUM(I18:I21)</f>
        <v>12487.42</v>
      </c>
      <c r="J22" s="80"/>
      <c r="K22" s="751"/>
    </row>
    <row r="23" spans="1:17" s="92" customFormat="1" ht="12.75" customHeight="1" thickBot="1" x14ac:dyDescent="0.25">
      <c r="A23" s="1"/>
      <c r="B23" s="1"/>
      <c r="C23" s="1"/>
      <c r="D23" s="1"/>
      <c r="E23" s="1"/>
      <c r="F23" s="1"/>
      <c r="G23" s="1"/>
      <c r="H23" s="660"/>
      <c r="I23" s="661"/>
      <c r="J23" s="80"/>
      <c r="K23" s="751"/>
    </row>
    <row r="24" spans="1:17" s="92" customFormat="1" ht="13.5" thickBot="1" x14ac:dyDescent="0.25">
      <c r="A24" s="90">
        <v>3</v>
      </c>
      <c r="B24" s="91"/>
      <c r="C24" s="91"/>
      <c r="D24" s="1827" t="s">
        <v>39</v>
      </c>
      <c r="E24" s="1828"/>
      <c r="F24" s="1828"/>
      <c r="G24" s="1828"/>
      <c r="H24" s="1828"/>
      <c r="I24" s="1829"/>
      <c r="J24" s="94">
        <f>I29/$I$488</f>
        <v>1.4236077202565214E-2</v>
      </c>
      <c r="K24" s="751"/>
      <c r="Q24" s="164">
        <v>355250</v>
      </c>
    </row>
    <row r="25" spans="1:17" s="92" customFormat="1" ht="63.75" x14ac:dyDescent="0.2">
      <c r="A25" s="439" t="s">
        <v>7</v>
      </c>
      <c r="B25" s="17" t="s">
        <v>282</v>
      </c>
      <c r="C25" s="17">
        <v>90098</v>
      </c>
      <c r="D25" s="18" t="s">
        <v>1738</v>
      </c>
      <c r="E25" s="96" t="s">
        <v>218</v>
      </c>
      <c r="F25" s="104">
        <f>'MOV. TER.3'!C18</f>
        <v>164.22</v>
      </c>
      <c r="G25" s="313">
        <v>4.8899999999999997</v>
      </c>
      <c r="H25" s="138">
        <f>ROUND((G25*$K$11),2)</f>
        <v>6.3</v>
      </c>
      <c r="I25" s="138">
        <f>ROUND(((F25*H25)),2)</f>
        <v>1034.5899999999999</v>
      </c>
      <c r="J25" s="80"/>
      <c r="K25" s="751">
        <f>I25/$I$488</f>
        <v>2.7743788448033962E-4</v>
      </c>
      <c r="L25" s="92">
        <f>I25/I29</f>
        <v>1.9488366109053398E-2</v>
      </c>
    </row>
    <row r="26" spans="1:17" ht="63.75" x14ac:dyDescent="0.2">
      <c r="A26" s="958" t="s">
        <v>8</v>
      </c>
      <c r="B26" s="17" t="s">
        <v>282</v>
      </c>
      <c r="C26" s="2">
        <v>93373</v>
      </c>
      <c r="D26" s="1129" t="s">
        <v>1739</v>
      </c>
      <c r="E26" s="51" t="s">
        <v>2</v>
      </c>
      <c r="F26" s="102">
        <f>'MOV. TER.3'!C27</f>
        <v>77.37</v>
      </c>
      <c r="G26" s="162">
        <v>9.06</v>
      </c>
      <c r="H26" s="138">
        <f>ROUND((G26*$K$11),2)</f>
        <v>11.67</v>
      </c>
      <c r="I26" s="138">
        <f>ROUND(((F26*H26)),2)</f>
        <v>902.91</v>
      </c>
      <c r="K26" s="751">
        <f>I26/$I$488</f>
        <v>2.4212629184135114E-4</v>
      </c>
      <c r="L26" s="80">
        <f>I26/I29</f>
        <v>1.7007936132695467E-2</v>
      </c>
    </row>
    <row r="27" spans="1:17" ht="25.5" x14ac:dyDescent="0.2">
      <c r="A27" s="958" t="s">
        <v>319</v>
      </c>
      <c r="B27" s="17" t="s">
        <v>282</v>
      </c>
      <c r="C27" s="2">
        <v>94319</v>
      </c>
      <c r="D27" s="1129" t="s">
        <v>234</v>
      </c>
      <c r="E27" s="51" t="s">
        <v>2</v>
      </c>
      <c r="F27" s="10">
        <f>'MOV. TER.3'!C55</f>
        <v>70.16</v>
      </c>
      <c r="G27" s="162">
        <v>73.8</v>
      </c>
      <c r="H27" s="138">
        <f>ROUND((G27*$K$11),2)</f>
        <v>95.07</v>
      </c>
      <c r="I27" s="138">
        <f>ROUND(((F27*H27)),2)</f>
        <v>6670.11</v>
      </c>
      <c r="K27" s="751">
        <f>I27/$I$488</f>
        <v>1.7886710751613278E-3</v>
      </c>
    </row>
    <row r="28" spans="1:17" ht="51" x14ac:dyDescent="0.2">
      <c r="A28" s="958" t="s">
        <v>1181</v>
      </c>
      <c r="B28" s="958" t="s">
        <v>282</v>
      </c>
      <c r="C28" s="2">
        <v>94318</v>
      </c>
      <c r="D28" s="1129" t="s">
        <v>1182</v>
      </c>
      <c r="E28" s="68" t="s">
        <v>2</v>
      </c>
      <c r="F28" s="10">
        <f>'MOV. TER.3'!C61</f>
        <v>615.80999999999995</v>
      </c>
      <c r="G28" s="162">
        <v>56.07</v>
      </c>
      <c r="H28" s="138">
        <f>ROUND((G28*$K$11),2)</f>
        <v>72.23</v>
      </c>
      <c r="I28" s="138">
        <f>ROUND(((F28*H28)),2)</f>
        <v>44479.96</v>
      </c>
      <c r="K28" s="751"/>
    </row>
    <row r="29" spans="1:17" ht="12.75" customHeight="1" x14ac:dyDescent="0.2">
      <c r="A29" s="1817" t="s">
        <v>1148</v>
      </c>
      <c r="B29" s="1818"/>
      <c r="C29" s="1818"/>
      <c r="D29" s="1818"/>
      <c r="E29" s="1818"/>
      <c r="F29" s="1818"/>
      <c r="G29" s="1818"/>
      <c r="H29" s="1819"/>
      <c r="I29" s="139">
        <f>SUM(I25:I28)</f>
        <v>53087.57</v>
      </c>
      <c r="K29" s="751"/>
    </row>
    <row r="30" spans="1:17" ht="13.5" thickBot="1" x14ac:dyDescent="0.25">
      <c r="K30" s="751"/>
    </row>
    <row r="31" spans="1:17" ht="13.5" thickBot="1" x14ac:dyDescent="0.25">
      <c r="A31" s="90">
        <v>4</v>
      </c>
      <c r="B31" s="91"/>
      <c r="C31" s="91"/>
      <c r="D31" s="1827" t="s">
        <v>855</v>
      </c>
      <c r="E31" s="1828"/>
      <c r="F31" s="1828"/>
      <c r="G31" s="1828"/>
      <c r="H31" s="1828"/>
      <c r="I31" s="1829"/>
      <c r="J31" s="94">
        <f>I48/$I$488</f>
        <v>0.21299084638940446</v>
      </c>
      <c r="K31" s="751"/>
    </row>
    <row r="32" spans="1:17" x14ac:dyDescent="0.2">
      <c r="A32" s="95" t="s">
        <v>10</v>
      </c>
      <c r="B32" s="95"/>
      <c r="C32" s="96"/>
      <c r="D32" s="97" t="s">
        <v>1482</v>
      </c>
      <c r="E32" s="98"/>
      <c r="F32" s="99"/>
      <c r="G32" s="100"/>
      <c r="H32" s="100"/>
      <c r="I32" s="101"/>
      <c r="K32" s="751"/>
    </row>
    <row r="33" spans="1:14" x14ac:dyDescent="0.2">
      <c r="A33" s="1379" t="s">
        <v>9</v>
      </c>
      <c r="B33" s="958" t="s">
        <v>621</v>
      </c>
      <c r="C33" s="68">
        <v>41490</v>
      </c>
      <c r="D33" s="16" t="s">
        <v>1483</v>
      </c>
      <c r="E33" s="68" t="s">
        <v>214</v>
      </c>
      <c r="F33" s="10">
        <f>EST.4!C20</f>
        <v>420</v>
      </c>
      <c r="G33" s="162">
        <v>305.77999999999997</v>
      </c>
      <c r="H33" s="138">
        <f t="shared" ref="H33" si="2">ROUND((G33*$K$11),2)</f>
        <v>393.91</v>
      </c>
      <c r="I33" s="138">
        <f t="shared" ref="I33" si="3">ROUND(((F33*H33)),2)</f>
        <v>165442.20000000001</v>
      </c>
      <c r="K33" s="751">
        <f>I33/$I$488</f>
        <v>4.4365336966115325E-2</v>
      </c>
      <c r="L33" s="1098" t="e">
        <f>SUM(I33:I38)/#REF!</f>
        <v>#REF!</v>
      </c>
    </row>
    <row r="34" spans="1:14" x14ac:dyDescent="0.2">
      <c r="A34" s="1379" t="s">
        <v>49</v>
      </c>
      <c r="B34" s="958" t="s">
        <v>621</v>
      </c>
      <c r="C34" s="1379">
        <v>41500</v>
      </c>
      <c r="D34" s="1486" t="s">
        <v>1484</v>
      </c>
      <c r="E34" s="51" t="s">
        <v>220</v>
      </c>
      <c r="F34" s="10">
        <f>EST.4!C24</f>
        <v>35</v>
      </c>
      <c r="G34" s="162">
        <v>51.21</v>
      </c>
      <c r="H34" s="138">
        <f>ROUND((G34*$K$11),2)</f>
        <v>65.97</v>
      </c>
      <c r="I34" s="138">
        <f>ROUND(((F34*H34)),2)</f>
        <v>2308.9499999999998</v>
      </c>
      <c r="K34" s="751">
        <f>I34/$I$488</f>
        <v>6.1917300898991893E-4</v>
      </c>
    </row>
    <row r="35" spans="1:14" x14ac:dyDescent="0.2">
      <c r="A35" s="95" t="s">
        <v>11</v>
      </c>
      <c r="B35" s="95"/>
      <c r="C35" s="96"/>
      <c r="D35" s="97" t="s">
        <v>1488</v>
      </c>
      <c r="E35" s="98"/>
      <c r="F35" s="99"/>
      <c r="G35" s="100"/>
      <c r="H35" s="100"/>
      <c r="I35" s="101"/>
      <c r="K35" s="751"/>
    </row>
    <row r="36" spans="1:14" ht="25.5" x14ac:dyDescent="0.2">
      <c r="A36" s="13" t="s">
        <v>853</v>
      </c>
      <c r="B36" s="17" t="s">
        <v>282</v>
      </c>
      <c r="C36" s="68">
        <v>96616</v>
      </c>
      <c r="D36" s="16" t="s">
        <v>1486</v>
      </c>
      <c r="E36" s="68" t="s">
        <v>218</v>
      </c>
      <c r="F36" s="10">
        <f>EST.4!C31</f>
        <v>7.9</v>
      </c>
      <c r="G36" s="162">
        <v>622.89</v>
      </c>
      <c r="H36" s="138">
        <f t="shared" ref="H36:H45" si="4">ROUND((G36*$K$11),2)</f>
        <v>802.41</v>
      </c>
      <c r="I36" s="138">
        <f t="shared" ref="I36:I45" si="5">ROUND(((F36*H36)),2)</f>
        <v>6339.04</v>
      </c>
      <c r="K36" s="751">
        <f t="shared" ref="K36:K41" si="6">I36/$I$488</f>
        <v>1.6998906303330326E-3</v>
      </c>
      <c r="L36" s="1098">
        <f>SUM(I36:I41)/I48</f>
        <v>0.42987365909854952</v>
      </c>
    </row>
    <row r="37" spans="1:14" ht="38.25" x14ac:dyDescent="0.2">
      <c r="A37" s="1517" t="s">
        <v>101</v>
      </c>
      <c r="B37" s="17" t="s">
        <v>282</v>
      </c>
      <c r="C37" s="13">
        <v>96536</v>
      </c>
      <c r="D37" s="93" t="s">
        <v>223</v>
      </c>
      <c r="E37" s="68" t="s">
        <v>215</v>
      </c>
      <c r="F37" s="10">
        <f>EST.4!C37</f>
        <v>1579</v>
      </c>
      <c r="G37" s="162">
        <v>64.47</v>
      </c>
      <c r="H37" s="138">
        <f>ROUND((G37*$K$11),2)</f>
        <v>83.05</v>
      </c>
      <c r="I37" s="138">
        <f>ROUND(((F37*H37)),2)</f>
        <v>131135.95000000001</v>
      </c>
      <c r="K37" s="751">
        <f t="shared" si="6"/>
        <v>3.5165699018277388E-2</v>
      </c>
    </row>
    <row r="38" spans="1:14" x14ac:dyDescent="0.2">
      <c r="A38" s="1517" t="s">
        <v>102</v>
      </c>
      <c r="B38" s="17" t="s">
        <v>621</v>
      </c>
      <c r="C38" s="2">
        <v>50038</v>
      </c>
      <c r="D38" s="16" t="s">
        <v>1487</v>
      </c>
      <c r="E38" s="68" t="s">
        <v>216</v>
      </c>
      <c r="F38" s="10">
        <f>EST.4!C42</f>
        <v>3947.5</v>
      </c>
      <c r="G38" s="162">
        <v>14.98</v>
      </c>
      <c r="H38" s="138">
        <f>ROUND((G38*$K$11),2)</f>
        <v>19.3</v>
      </c>
      <c r="I38" s="138">
        <f>ROUND(((F38*H38)),2)</f>
        <v>76186.75</v>
      </c>
      <c r="K38" s="751">
        <f t="shared" si="6"/>
        <v>2.0430403102129846E-2</v>
      </c>
    </row>
    <row r="39" spans="1:14" ht="38.25" x14ac:dyDescent="0.2">
      <c r="A39" s="1517" t="s">
        <v>283</v>
      </c>
      <c r="B39" s="17" t="s">
        <v>282</v>
      </c>
      <c r="C39" s="13">
        <v>94971</v>
      </c>
      <c r="D39" s="1129" t="s">
        <v>867</v>
      </c>
      <c r="E39" s="51" t="s">
        <v>218</v>
      </c>
      <c r="F39" s="10">
        <f>EST.4!C50</f>
        <v>78.95</v>
      </c>
      <c r="G39" s="162">
        <v>546.12</v>
      </c>
      <c r="H39" s="138">
        <f>ROUND((G39*$K$11),2)</f>
        <v>703.51</v>
      </c>
      <c r="I39" s="138">
        <f>ROUND(((F39*H39)),2)</f>
        <v>55542.11</v>
      </c>
      <c r="K39" s="751">
        <f t="shared" si="6"/>
        <v>1.4894291939777418E-2</v>
      </c>
    </row>
    <row r="40" spans="1:14" ht="25.5" x14ac:dyDescent="0.2">
      <c r="A40" s="1517" t="s">
        <v>284</v>
      </c>
      <c r="B40" s="17" t="s">
        <v>282</v>
      </c>
      <c r="C40" s="13">
        <v>103673</v>
      </c>
      <c r="D40" s="1129" t="s">
        <v>1492</v>
      </c>
      <c r="E40" s="51" t="s">
        <v>218</v>
      </c>
      <c r="F40" s="10">
        <f>EST.4!C50</f>
        <v>78.95</v>
      </c>
      <c r="G40" s="162">
        <v>32.65</v>
      </c>
      <c r="H40" s="138">
        <f t="shared" si="4"/>
        <v>42.06</v>
      </c>
      <c r="I40" s="138">
        <f t="shared" si="5"/>
        <v>3320.64</v>
      </c>
      <c r="K40" s="751">
        <f t="shared" si="6"/>
        <v>8.9046998010883054E-4</v>
      </c>
    </row>
    <row r="41" spans="1:14" ht="25.5" x14ac:dyDescent="0.2">
      <c r="A41" s="1517" t="s">
        <v>854</v>
      </c>
      <c r="B41" s="451" t="s">
        <v>282</v>
      </c>
      <c r="C41" s="452">
        <v>98557</v>
      </c>
      <c r="D41" s="1129" t="s">
        <v>325</v>
      </c>
      <c r="E41" s="68" t="s">
        <v>215</v>
      </c>
      <c r="F41" s="10">
        <f>EST.4!C57</f>
        <v>1579</v>
      </c>
      <c r="G41" s="162">
        <v>33.880000000000003</v>
      </c>
      <c r="H41" s="138">
        <f t="shared" si="4"/>
        <v>43.64</v>
      </c>
      <c r="I41" s="138">
        <f t="shared" si="5"/>
        <v>68907.56</v>
      </c>
      <c r="K41" s="751">
        <f t="shared" si="6"/>
        <v>1.8478399821283863E-2</v>
      </c>
    </row>
    <row r="42" spans="1:14" x14ac:dyDescent="0.2">
      <c r="A42" s="4" t="s">
        <v>856</v>
      </c>
      <c r="B42" s="4"/>
      <c r="C42" s="2"/>
      <c r="D42" s="1189" t="s">
        <v>1489</v>
      </c>
      <c r="E42" s="103"/>
      <c r="F42" s="1493"/>
      <c r="G42" s="1188"/>
      <c r="H42" s="138"/>
      <c r="I42" s="137"/>
      <c r="K42" s="751"/>
    </row>
    <row r="43" spans="1:14" ht="51" x14ac:dyDescent="0.2">
      <c r="A43" s="895" t="s">
        <v>857</v>
      </c>
      <c r="B43" s="895" t="s">
        <v>282</v>
      </c>
      <c r="C43" s="895">
        <v>92443</v>
      </c>
      <c r="D43" s="12" t="s">
        <v>1164</v>
      </c>
      <c r="E43" s="51" t="s">
        <v>6</v>
      </c>
      <c r="F43" s="10">
        <f>EST.4!C65</f>
        <v>1579</v>
      </c>
      <c r="G43" s="162">
        <v>40.83</v>
      </c>
      <c r="H43" s="138">
        <f t="shared" si="4"/>
        <v>52.6</v>
      </c>
      <c r="I43" s="138">
        <f t="shared" si="5"/>
        <v>83055.399999999994</v>
      </c>
      <c r="K43" s="751">
        <f>I43/$I$488</f>
        <v>2.2272315091648287E-2</v>
      </c>
    </row>
    <row r="44" spans="1:14" x14ac:dyDescent="0.2">
      <c r="A44" s="1517" t="s">
        <v>858</v>
      </c>
      <c r="B44" s="958" t="s">
        <v>621</v>
      </c>
      <c r="C44" s="2">
        <v>50038</v>
      </c>
      <c r="D44" s="16" t="s">
        <v>1487</v>
      </c>
      <c r="E44" s="68" t="s">
        <v>216</v>
      </c>
      <c r="F44" s="10">
        <f>EST.4!C71</f>
        <v>4737</v>
      </c>
      <c r="G44" s="162">
        <v>14.98</v>
      </c>
      <c r="H44" s="138">
        <f t="shared" si="4"/>
        <v>19.3</v>
      </c>
      <c r="I44" s="138">
        <f t="shared" si="5"/>
        <v>91424.1</v>
      </c>
      <c r="K44" s="751">
        <f>I44/$I$488</f>
        <v>2.4516483722555816E-2</v>
      </c>
    </row>
    <row r="45" spans="1:14" ht="38.25" x14ac:dyDescent="0.2">
      <c r="A45" s="1517" t="s">
        <v>859</v>
      </c>
      <c r="B45" s="958" t="s">
        <v>282</v>
      </c>
      <c r="C45" s="1379">
        <v>94971</v>
      </c>
      <c r="D45" s="1129" t="s">
        <v>867</v>
      </c>
      <c r="E45" s="51" t="s">
        <v>218</v>
      </c>
      <c r="F45" s="10">
        <f>EST.4!C78</f>
        <v>78.95</v>
      </c>
      <c r="G45" s="162">
        <v>546.12</v>
      </c>
      <c r="H45" s="138">
        <f t="shared" si="4"/>
        <v>703.51</v>
      </c>
      <c r="I45" s="138">
        <f t="shared" si="5"/>
        <v>55542.11</v>
      </c>
      <c r="K45" s="751">
        <f>I45/$I$488</f>
        <v>1.4894291939777418E-2</v>
      </c>
    </row>
    <row r="46" spans="1:14" ht="25.5" x14ac:dyDescent="0.2">
      <c r="A46" s="1517" t="s">
        <v>860</v>
      </c>
      <c r="B46" s="958" t="s">
        <v>282</v>
      </c>
      <c r="C46" s="1379">
        <v>103673</v>
      </c>
      <c r="D46" s="1129" t="s">
        <v>1492</v>
      </c>
      <c r="E46" s="51" t="s">
        <v>218</v>
      </c>
      <c r="F46" s="10">
        <f>EST.4!C78</f>
        <v>78.95</v>
      </c>
      <c r="G46" s="162">
        <v>32.65</v>
      </c>
      <c r="H46" s="138">
        <f t="shared" ref="H46" si="7">ROUND((G46*$K$11),2)</f>
        <v>42.06</v>
      </c>
      <c r="I46" s="138">
        <f t="shared" ref="I46" si="8">ROUND(((F46*H46)),2)</f>
        <v>3320.64</v>
      </c>
      <c r="K46" s="751"/>
    </row>
    <row r="47" spans="1:14" x14ac:dyDescent="0.2">
      <c r="A47" s="1517" t="s">
        <v>861</v>
      </c>
      <c r="B47" s="799" t="s">
        <v>621</v>
      </c>
      <c r="C47" s="798">
        <v>51294</v>
      </c>
      <c r="D47" s="1129" t="s">
        <v>1491</v>
      </c>
      <c r="E47" s="51" t="s">
        <v>215</v>
      </c>
      <c r="F47" s="10">
        <f>EST.4!C84</f>
        <v>789.5</v>
      </c>
      <c r="G47" s="162">
        <v>50.87</v>
      </c>
      <c r="H47" s="138">
        <f>ROUND((G47*$K$11),2)</f>
        <v>65.53</v>
      </c>
      <c r="I47" s="138">
        <f>ROUND(((F47*H47)),2)</f>
        <v>51735.94</v>
      </c>
      <c r="K47" s="751">
        <f>I47/$I$488</f>
        <v>1.3873621188298537E-2</v>
      </c>
      <c r="L47" s="80">
        <f>I48/H497</f>
        <v>0.21299084638940446</v>
      </c>
      <c r="N47" s="140">
        <v>1032671.1300000001</v>
      </c>
    </row>
    <row r="48" spans="1:14" ht="12.75" customHeight="1" x14ac:dyDescent="0.2">
      <c r="A48" s="1817" t="s">
        <v>1149</v>
      </c>
      <c r="B48" s="1818"/>
      <c r="C48" s="1818"/>
      <c r="D48" s="1818"/>
      <c r="E48" s="1818"/>
      <c r="F48" s="1818"/>
      <c r="G48" s="1818"/>
      <c r="H48" s="1819"/>
      <c r="I48" s="140">
        <f>SUM(I33:I47)</f>
        <v>794261.3899999999</v>
      </c>
      <c r="K48" s="751"/>
    </row>
    <row r="49" spans="1:13" ht="12.75" customHeight="1" thickBot="1" x14ac:dyDescent="0.25">
      <c r="A49" s="1"/>
      <c r="B49" s="1"/>
      <c r="C49" s="1"/>
      <c r="D49" s="1"/>
      <c r="E49" s="1"/>
      <c r="F49" s="1"/>
      <c r="G49" s="1"/>
      <c r="H49" s="1"/>
      <c r="I49" s="1123"/>
      <c r="K49" s="751"/>
    </row>
    <row r="50" spans="1:13" s="618" customFormat="1" ht="13.5" thickBot="1" x14ac:dyDescent="0.25">
      <c r="A50" s="90">
        <v>5</v>
      </c>
      <c r="B50" s="90"/>
      <c r="C50" s="90"/>
      <c r="D50" s="1827" t="s">
        <v>42</v>
      </c>
      <c r="E50" s="1828"/>
      <c r="F50" s="1828"/>
      <c r="G50" s="1828"/>
      <c r="H50" s="1828"/>
      <c r="I50" s="1829"/>
      <c r="J50" s="94">
        <f>I66/$I$488</f>
        <v>0.14574239334514635</v>
      </c>
      <c r="K50" s="751"/>
    </row>
    <row r="51" spans="1:13" ht="51" x14ac:dyDescent="0.2">
      <c r="A51" s="492" t="s">
        <v>872</v>
      </c>
      <c r="B51" s="17" t="s">
        <v>282</v>
      </c>
      <c r="C51" s="575">
        <v>100382</v>
      </c>
      <c r="D51" s="1129" t="s">
        <v>1501</v>
      </c>
      <c r="E51" s="68" t="s">
        <v>215</v>
      </c>
      <c r="F51" s="10">
        <f>'COB. 5'!C25</f>
        <v>2011.71</v>
      </c>
      <c r="G51" s="162">
        <v>19.64</v>
      </c>
      <c r="H51" s="138">
        <f t="shared" ref="H51:H58" si="9">ROUND((G51*$K$11),2)</f>
        <v>25.3</v>
      </c>
      <c r="I51" s="138">
        <f t="shared" ref="I51:I58" si="10">ROUND(((F51*H51)),2)</f>
        <v>50896.26</v>
      </c>
      <c r="K51" s="751">
        <f>I51/$I$488</f>
        <v>1.3648450789550771E-2</v>
      </c>
    </row>
    <row r="52" spans="1:13" ht="51" x14ac:dyDescent="0.2">
      <c r="A52" s="1517" t="s">
        <v>873</v>
      </c>
      <c r="B52" s="958" t="s">
        <v>282</v>
      </c>
      <c r="C52" s="958">
        <v>92543</v>
      </c>
      <c r="D52" s="1129" t="s">
        <v>1248</v>
      </c>
      <c r="E52" s="68" t="s">
        <v>6</v>
      </c>
      <c r="F52" s="10">
        <f>'COB. 5'!C38</f>
        <v>2011.71</v>
      </c>
      <c r="G52" s="162">
        <v>18.809999999999999</v>
      </c>
      <c r="H52" s="138">
        <f t="shared" ref="H52" si="11">ROUND((G52*$K$11),2)</f>
        <v>24.23</v>
      </c>
      <c r="I52" s="138">
        <f t="shared" ref="I52" si="12">ROUND(((F52*H52)),2)</f>
        <v>48743.73</v>
      </c>
      <c r="K52" s="1375"/>
    </row>
    <row r="53" spans="1:13" x14ac:dyDescent="0.2">
      <c r="A53" s="1517" t="s">
        <v>874</v>
      </c>
      <c r="B53" s="907" t="s">
        <v>621</v>
      </c>
      <c r="C53" s="895">
        <v>71465</v>
      </c>
      <c r="D53" s="1129" t="s">
        <v>1493</v>
      </c>
      <c r="E53" s="2" t="s">
        <v>215</v>
      </c>
      <c r="F53" s="10">
        <f>'COB. 5'!C51</f>
        <v>2011.71</v>
      </c>
      <c r="G53" s="162">
        <v>48.33</v>
      </c>
      <c r="H53" s="138">
        <f t="shared" si="9"/>
        <v>62.26</v>
      </c>
      <c r="I53" s="138">
        <f t="shared" si="10"/>
        <v>125249.06</v>
      </c>
      <c r="J53" s="92"/>
      <c r="K53" s="752">
        <f t="shared" ref="K53:K58" si="13">I53/$I$488</f>
        <v>3.3587057906563113E-2</v>
      </c>
      <c r="M53" s="1098">
        <f>(I51+I60+I61+I62)/I66</f>
        <v>0.25644414872388815</v>
      </c>
    </row>
    <row r="54" spans="1:13" ht="25.5" x14ac:dyDescent="0.2">
      <c r="A54" s="1517" t="s">
        <v>875</v>
      </c>
      <c r="B54" s="505" t="s">
        <v>282</v>
      </c>
      <c r="C54" s="506">
        <v>96110</v>
      </c>
      <c r="D54" s="1129" t="s">
        <v>1398</v>
      </c>
      <c r="E54" s="2" t="s">
        <v>215</v>
      </c>
      <c r="F54" s="10">
        <f>'COB. 5'!D89</f>
        <v>1462.88</v>
      </c>
      <c r="G54" s="162">
        <v>67.41</v>
      </c>
      <c r="H54" s="138">
        <f t="shared" si="9"/>
        <v>86.84</v>
      </c>
      <c r="I54" s="138">
        <f t="shared" si="10"/>
        <v>127036.5</v>
      </c>
      <c r="K54" s="752">
        <f t="shared" si="13"/>
        <v>3.4066381669827339E-2</v>
      </c>
      <c r="M54" s="80">
        <f>I53/I66</f>
        <v>0.23045496327909493</v>
      </c>
    </row>
    <row r="55" spans="1:13" ht="25.5" x14ac:dyDescent="0.2">
      <c r="A55" s="1517" t="s">
        <v>876</v>
      </c>
      <c r="B55" s="1824" t="str">
        <f>COMPOSIÇÕES!A21</f>
        <v>COMPOSIÇÃO 2</v>
      </c>
      <c r="C55" s="1825"/>
      <c r="D55" s="1110" t="str">
        <f>COMPOSIÇÕES!C20</f>
        <v>CHAPIM EM CONCRETO APARENTE COM ACABAMENTO DESEMPENADO</v>
      </c>
      <c r="E55" s="1179" t="s">
        <v>17</v>
      </c>
      <c r="F55" s="10">
        <f>'COB. 5'!L136</f>
        <v>255.65999999999997</v>
      </c>
      <c r="G55" s="162">
        <f>COMPOSIÇÕES!M29</f>
        <v>52.849999999999994</v>
      </c>
      <c r="H55" s="138">
        <f t="shared" si="9"/>
        <v>68.08</v>
      </c>
      <c r="I55" s="138">
        <f t="shared" si="10"/>
        <v>17405.330000000002</v>
      </c>
      <c r="K55" s="751">
        <f t="shared" si="13"/>
        <v>4.667450810352111E-3</v>
      </c>
    </row>
    <row r="56" spans="1:13" ht="25.5" x14ac:dyDescent="0.2">
      <c r="A56" s="1517" t="s">
        <v>877</v>
      </c>
      <c r="B56" s="634" t="s">
        <v>282</v>
      </c>
      <c r="C56" s="635">
        <v>94231</v>
      </c>
      <c r="D56" s="1110" t="s">
        <v>369</v>
      </c>
      <c r="E56" s="1179" t="s">
        <v>17</v>
      </c>
      <c r="F56" s="10">
        <f>'COB. 5'!C173</f>
        <v>249.91000000000003</v>
      </c>
      <c r="G56" s="162">
        <v>52.51</v>
      </c>
      <c r="H56" s="138">
        <f t="shared" si="9"/>
        <v>67.64</v>
      </c>
      <c r="I56" s="138">
        <f t="shared" si="10"/>
        <v>16903.91</v>
      </c>
      <c r="K56" s="751">
        <f t="shared" si="13"/>
        <v>4.5329889423308348E-3</v>
      </c>
    </row>
    <row r="57" spans="1:13" ht="51" x14ac:dyDescent="0.2">
      <c r="A57" s="1517" t="s">
        <v>878</v>
      </c>
      <c r="B57" s="1826" t="str">
        <f>COMPOSIÇÕES!A33</f>
        <v>COMPOSIÇÃO 3</v>
      </c>
      <c r="C57" s="1825"/>
      <c r="D57" s="1110" t="str">
        <f>COMPOSIÇÕES!C32</f>
        <v>FORNECIMENTO E INSTALAÇÃO DE COBERTURA EM TELHA TERMOACUSTICA CHAPA CHAPA, ESPESSURA DE 30MM, FIXADO COM PERFIL U - 125x50x3MM E TIRANTE EM AÇO GALVANIZADO (COBERTURA 07).</v>
      </c>
      <c r="E57" s="1179" t="s">
        <v>96</v>
      </c>
      <c r="F57" s="10">
        <f>'COB. 5'!C177</f>
        <v>1</v>
      </c>
      <c r="G57" s="162">
        <f>COMPOSIÇÕES!M44</f>
        <v>30766.959999999999</v>
      </c>
      <c r="H57" s="138">
        <f t="shared" si="9"/>
        <v>39634</v>
      </c>
      <c r="I57" s="138">
        <f t="shared" si="10"/>
        <v>39634</v>
      </c>
      <c r="K57" s="751">
        <f t="shared" si="13"/>
        <v>1.0628338871914268E-2</v>
      </c>
      <c r="L57" s="910"/>
    </row>
    <row r="58" spans="1:13" ht="42" customHeight="1" thickBot="1" x14ac:dyDescent="0.25">
      <c r="A58" s="1517" t="s">
        <v>879</v>
      </c>
      <c r="B58" s="1826" t="str">
        <f>COMPOSIÇÕES!A48</f>
        <v>COMPOSIÇÃO 4</v>
      </c>
      <c r="C58" s="1825"/>
      <c r="D58" s="1110" t="str">
        <f>COMPOSIÇÕES!C47</f>
        <v>EXECUÇÃO DE FURO, COM CAIXA EM CHAPA DE AÇO GALVANIZADA, INCLUINDO PINTURA METÁLICA E IMPERMEABILIZAÇÃO COM MANTA ASFÁLTICA.</v>
      </c>
      <c r="E58" s="1179" t="s">
        <v>96</v>
      </c>
      <c r="F58" s="10">
        <f>'COB. 5'!C181</f>
        <v>4</v>
      </c>
      <c r="G58" s="162">
        <f>COMPOSIÇÕES!M57</f>
        <v>234</v>
      </c>
      <c r="H58" s="138">
        <f t="shared" si="9"/>
        <v>301.44</v>
      </c>
      <c r="I58" s="138">
        <f t="shared" si="10"/>
        <v>1205.76</v>
      </c>
      <c r="K58" s="751">
        <f t="shared" si="13"/>
        <v>3.2333920064084743E-4</v>
      </c>
    </row>
    <row r="59" spans="1:13" ht="13.5" thickBot="1" x14ac:dyDescent="0.25">
      <c r="A59" s="842" t="s">
        <v>1241</v>
      </c>
      <c r="B59" s="843"/>
      <c r="C59" s="844"/>
      <c r="D59" s="1855" t="s">
        <v>644</v>
      </c>
      <c r="E59" s="1855"/>
      <c r="F59" s="1855"/>
      <c r="G59" s="1855"/>
      <c r="H59" s="1855"/>
      <c r="I59" s="1856"/>
      <c r="K59" s="751"/>
    </row>
    <row r="60" spans="1:13" ht="38.25" x14ac:dyDescent="0.2">
      <c r="A60" s="808" t="s">
        <v>1242</v>
      </c>
      <c r="B60" s="17" t="s">
        <v>282</v>
      </c>
      <c r="C60" s="821">
        <v>103356</v>
      </c>
      <c r="D60" s="1129" t="s">
        <v>1340</v>
      </c>
      <c r="E60" s="51" t="s">
        <v>215</v>
      </c>
      <c r="F60" s="10">
        <f>'COB. 5'!C260</f>
        <v>617.86</v>
      </c>
      <c r="G60" s="162">
        <v>52.48</v>
      </c>
      <c r="H60" s="138">
        <f t="shared" ref="H60:H65" si="14">ROUND((G60*$K$11),2)</f>
        <v>67.599999999999994</v>
      </c>
      <c r="I60" s="138">
        <f t="shared" ref="I60:I65" si="15">ROUND(((F60*H60)),2)</f>
        <v>41767.339999999997</v>
      </c>
      <c r="K60" s="752">
        <f t="shared" ref="K60:K65" si="16">I60/$I$488</f>
        <v>1.1200419924773164E-2</v>
      </c>
    </row>
    <row r="61" spans="1:13" ht="38.25" x14ac:dyDescent="0.2">
      <c r="A61" s="1517" t="s">
        <v>1243</v>
      </c>
      <c r="B61" s="809" t="s">
        <v>282</v>
      </c>
      <c r="C61" s="808">
        <v>87878</v>
      </c>
      <c r="D61" s="1129" t="s">
        <v>308</v>
      </c>
      <c r="E61" s="51" t="s">
        <v>6</v>
      </c>
      <c r="F61" s="10">
        <f>'COB. 5'!G265</f>
        <v>1235.72</v>
      </c>
      <c r="G61" s="162">
        <v>4.46</v>
      </c>
      <c r="H61" s="138">
        <f t="shared" si="14"/>
        <v>5.75</v>
      </c>
      <c r="I61" s="138">
        <f t="shared" si="15"/>
        <v>7105.39</v>
      </c>
      <c r="K61" s="751">
        <f t="shared" si="16"/>
        <v>1.9053966982164536E-3</v>
      </c>
    </row>
    <row r="62" spans="1:13" ht="51" x14ac:dyDescent="0.2">
      <c r="A62" s="1517" t="s">
        <v>1244</v>
      </c>
      <c r="B62" s="822" t="s">
        <v>282</v>
      </c>
      <c r="C62" s="821">
        <v>87547</v>
      </c>
      <c r="D62" s="1129" t="s">
        <v>1370</v>
      </c>
      <c r="E62" s="51" t="s">
        <v>6</v>
      </c>
      <c r="F62" s="10">
        <f>'COB. 5'!G270</f>
        <v>1235.72</v>
      </c>
      <c r="G62" s="162">
        <v>24.88</v>
      </c>
      <c r="H62" s="138">
        <f t="shared" si="14"/>
        <v>32.049999999999997</v>
      </c>
      <c r="I62" s="138">
        <f t="shared" si="15"/>
        <v>39604.83</v>
      </c>
      <c r="K62" s="752">
        <f t="shared" si="16"/>
        <v>1.0620516581837724E-2</v>
      </c>
    </row>
    <row r="63" spans="1:13" ht="25.5" x14ac:dyDescent="0.2">
      <c r="A63" s="1517" t="s">
        <v>1245</v>
      </c>
      <c r="B63" s="809" t="s">
        <v>282</v>
      </c>
      <c r="C63" s="809">
        <v>88485</v>
      </c>
      <c r="D63" s="18" t="s">
        <v>361</v>
      </c>
      <c r="E63" s="69" t="s">
        <v>6</v>
      </c>
      <c r="F63" s="868">
        <f>'COB. 5'!G275</f>
        <v>1235.72</v>
      </c>
      <c r="G63" s="313">
        <v>2.2599999999999998</v>
      </c>
      <c r="H63" s="138">
        <f t="shared" si="14"/>
        <v>2.91</v>
      </c>
      <c r="I63" s="138">
        <f t="shared" si="15"/>
        <v>3595.95</v>
      </c>
      <c r="K63" s="751">
        <f t="shared" si="16"/>
        <v>9.6429770314528204E-4</v>
      </c>
    </row>
    <row r="64" spans="1:13" ht="25.5" x14ac:dyDescent="0.2">
      <c r="A64" s="1517" t="s">
        <v>1246</v>
      </c>
      <c r="B64" s="809" t="s">
        <v>282</v>
      </c>
      <c r="C64" s="808">
        <v>88489</v>
      </c>
      <c r="D64" s="811" t="s">
        <v>208</v>
      </c>
      <c r="E64" s="68" t="s">
        <v>6</v>
      </c>
      <c r="F64" s="868">
        <f>'COB. 5'!G281</f>
        <v>1235.72</v>
      </c>
      <c r="G64" s="162">
        <v>13.48</v>
      </c>
      <c r="H64" s="138">
        <f t="shared" si="14"/>
        <v>17.36</v>
      </c>
      <c r="I64" s="138">
        <f t="shared" si="15"/>
        <v>21452.1</v>
      </c>
      <c r="K64" s="751">
        <f t="shared" si="16"/>
        <v>5.752641376449312E-3</v>
      </c>
    </row>
    <row r="65" spans="1:13" ht="25.5" x14ac:dyDescent="0.2">
      <c r="A65" s="1517" t="s">
        <v>1247</v>
      </c>
      <c r="B65" s="808" t="s">
        <v>282</v>
      </c>
      <c r="C65" s="808">
        <v>98563</v>
      </c>
      <c r="D65" s="810" t="s">
        <v>655</v>
      </c>
      <c r="E65" s="68" t="s">
        <v>6</v>
      </c>
      <c r="F65" s="10">
        <f>'COB. 5'!C298</f>
        <v>65.44</v>
      </c>
      <c r="G65" s="162">
        <v>34.229999999999997</v>
      </c>
      <c r="H65" s="137">
        <f t="shared" si="14"/>
        <v>44.1</v>
      </c>
      <c r="I65" s="138">
        <f t="shared" si="15"/>
        <v>2885.9</v>
      </c>
      <c r="K65" s="751">
        <f t="shared" si="16"/>
        <v>7.738891646176865E-4</v>
      </c>
    </row>
    <row r="66" spans="1:13" ht="12.75" customHeight="1" x14ac:dyDescent="0.2">
      <c r="A66" s="1817" t="s">
        <v>1150</v>
      </c>
      <c r="B66" s="1818"/>
      <c r="C66" s="1818"/>
      <c r="D66" s="1818"/>
      <c r="E66" s="1818"/>
      <c r="F66" s="1818"/>
      <c r="G66" s="1818"/>
      <c r="H66" s="1819"/>
      <c r="I66" s="139">
        <f>SUM(I51:I65)</f>
        <v>543486.06000000006</v>
      </c>
      <c r="K66" s="751"/>
    </row>
    <row r="67" spans="1:13" ht="13.5" thickBot="1" x14ac:dyDescent="0.25">
      <c r="K67" s="751"/>
    </row>
    <row r="68" spans="1:13" s="618" customFormat="1" ht="13.5" thickBot="1" x14ac:dyDescent="0.25">
      <c r="A68" s="90">
        <v>6</v>
      </c>
      <c r="B68" s="90"/>
      <c r="C68" s="90"/>
      <c r="D68" s="1827" t="s">
        <v>44</v>
      </c>
      <c r="E68" s="1828"/>
      <c r="F68" s="1828"/>
      <c r="G68" s="1828"/>
      <c r="H68" s="1828"/>
      <c r="I68" s="1829"/>
      <c r="J68" s="94">
        <f>I82/$I$488</f>
        <v>0.10610699433486261</v>
      </c>
      <c r="K68" s="751"/>
    </row>
    <row r="69" spans="1:13" s="618" customFormat="1" ht="51" x14ac:dyDescent="0.2">
      <c r="A69" s="1085" t="s">
        <v>12</v>
      </c>
      <c r="B69" s="958" t="s">
        <v>282</v>
      </c>
      <c r="C69" s="68">
        <v>87620</v>
      </c>
      <c r="D69" s="16" t="s">
        <v>1508</v>
      </c>
      <c r="E69" s="68" t="s">
        <v>215</v>
      </c>
      <c r="F69" s="10">
        <f>'PAV. 6'!D50</f>
        <v>1462.88</v>
      </c>
      <c r="G69" s="162">
        <v>29.81</v>
      </c>
      <c r="H69" s="138">
        <f t="shared" ref="H69" si="17">ROUND((G69*$K$11),2)</f>
        <v>38.4</v>
      </c>
      <c r="I69" s="138">
        <f t="shared" ref="I69" si="18">ROUND(((F69*H69)),2)</f>
        <v>56174.59</v>
      </c>
      <c r="J69" s="582"/>
      <c r="K69" s="751">
        <f>I69/$I$488</f>
        <v>1.5063899139901258E-2</v>
      </c>
      <c r="M69" s="1104">
        <f>I69/I82</f>
        <v>0.14196895533918494</v>
      </c>
    </row>
    <row r="70" spans="1:13" x14ac:dyDescent="0.2">
      <c r="A70" s="1517" t="s">
        <v>13</v>
      </c>
      <c r="B70" s="17" t="s">
        <v>621</v>
      </c>
      <c r="C70" s="68">
        <v>130715</v>
      </c>
      <c r="D70" s="1129" t="s">
        <v>656</v>
      </c>
      <c r="E70" s="1505" t="s">
        <v>6</v>
      </c>
      <c r="F70" s="10">
        <f>'PAV. 6'!D84</f>
        <v>1309.44</v>
      </c>
      <c r="G70" s="162">
        <v>121.32</v>
      </c>
      <c r="H70" s="138">
        <f t="shared" ref="H70:H75" si="19">ROUND((G70*$K$11),2)</f>
        <v>156.28</v>
      </c>
      <c r="I70" s="138">
        <f t="shared" ref="I70:I75" si="20">ROUND(((F70*H70)),2)</f>
        <v>204639.28</v>
      </c>
      <c r="K70" s="752">
        <f>I70/$I$488</f>
        <v>5.4876510429039405E-2</v>
      </c>
      <c r="M70" s="905">
        <f>I70+I71</f>
        <v>215900.24</v>
      </c>
    </row>
    <row r="71" spans="1:13" s="166" customFormat="1" ht="38.25" x14ac:dyDescent="0.2">
      <c r="A71" s="1517" t="s">
        <v>14</v>
      </c>
      <c r="B71" s="561" t="s">
        <v>282</v>
      </c>
      <c r="C71" s="68">
        <v>87248</v>
      </c>
      <c r="D71" s="551" t="s">
        <v>366</v>
      </c>
      <c r="E71" s="68" t="s">
        <v>6</v>
      </c>
      <c r="F71" s="322">
        <f>'PAV. 6'!C105</f>
        <v>153.44</v>
      </c>
      <c r="G71" s="162">
        <v>56.97</v>
      </c>
      <c r="H71" s="313">
        <f t="shared" si="19"/>
        <v>73.39</v>
      </c>
      <c r="I71" s="313">
        <f t="shared" si="20"/>
        <v>11260.96</v>
      </c>
      <c r="K71" s="751">
        <f>I71/$I$488</f>
        <v>3.0197633068343261E-3</v>
      </c>
      <c r="M71" s="1106">
        <f>M70/I82</f>
        <v>0.54564050276609599</v>
      </c>
    </row>
    <row r="72" spans="1:13" ht="38.25" x14ac:dyDescent="0.2">
      <c r="A72" s="1517" t="s">
        <v>115</v>
      </c>
      <c r="B72" s="501" t="s">
        <v>282</v>
      </c>
      <c r="C72" s="500">
        <v>94991</v>
      </c>
      <c r="D72" s="1193" t="s">
        <v>1197</v>
      </c>
      <c r="E72" s="1197" t="s">
        <v>2</v>
      </c>
      <c r="F72" s="10">
        <f>'PAV. 6'!D144</f>
        <v>73.490000000000009</v>
      </c>
      <c r="G72" s="162">
        <v>800.88</v>
      </c>
      <c r="H72" s="138">
        <f t="shared" si="19"/>
        <v>1031.69</v>
      </c>
      <c r="I72" s="138">
        <f t="shared" si="20"/>
        <v>75818.899999999994</v>
      </c>
      <c r="K72" s="752">
        <f>I72/$I$488</f>
        <v>2.0331759653221492E-2</v>
      </c>
    </row>
    <row r="73" spans="1:13" x14ac:dyDescent="0.2">
      <c r="A73" s="1517" t="s">
        <v>460</v>
      </c>
      <c r="B73" s="561" t="s">
        <v>282</v>
      </c>
      <c r="C73" s="562">
        <v>98504</v>
      </c>
      <c r="D73" s="551" t="s">
        <v>367</v>
      </c>
      <c r="E73" s="68" t="s">
        <v>6</v>
      </c>
      <c r="F73" s="10">
        <f>'PAV. 6'!C161</f>
        <v>139.6825</v>
      </c>
      <c r="G73" s="162">
        <v>11.49</v>
      </c>
      <c r="H73" s="138">
        <f t="shared" si="19"/>
        <v>14.8</v>
      </c>
      <c r="I73" s="138">
        <f t="shared" si="20"/>
        <v>2067.3000000000002</v>
      </c>
      <c r="K73" s="751">
        <f>I73/$I$488</f>
        <v>5.543716241083001E-4</v>
      </c>
    </row>
    <row r="74" spans="1:13" ht="25.5" x14ac:dyDescent="0.2">
      <c r="A74" s="1517" t="s">
        <v>481</v>
      </c>
      <c r="B74" s="852" t="s">
        <v>282</v>
      </c>
      <c r="C74" s="851">
        <v>92391</v>
      </c>
      <c r="D74" s="850" t="s">
        <v>683</v>
      </c>
      <c r="E74" s="68" t="s">
        <v>6</v>
      </c>
      <c r="F74" s="10">
        <f>'PAV. 6'!C169</f>
        <v>78.19</v>
      </c>
      <c r="G74" s="162">
        <v>63.28</v>
      </c>
      <c r="H74" s="138">
        <f t="shared" si="19"/>
        <v>81.52</v>
      </c>
      <c r="I74" s="138">
        <f t="shared" si="20"/>
        <v>6374.05</v>
      </c>
      <c r="K74" s="751"/>
      <c r="L74" s="905"/>
      <c r="M74" s="1520">
        <f>267988.4-156970.04</f>
        <v>111018.36000000002</v>
      </c>
    </row>
    <row r="75" spans="1:13" x14ac:dyDescent="0.2">
      <c r="A75" s="1517" t="s">
        <v>482</v>
      </c>
      <c r="B75" s="958" t="s">
        <v>621</v>
      </c>
      <c r="C75" s="738">
        <v>260519</v>
      </c>
      <c r="D75" s="737" t="s">
        <v>1741</v>
      </c>
      <c r="E75" s="68" t="s">
        <v>214</v>
      </c>
      <c r="F75" s="10">
        <f>'PAV. 6'!C218</f>
        <v>133</v>
      </c>
      <c r="G75" s="162">
        <v>31.39</v>
      </c>
      <c r="H75" s="138">
        <f t="shared" si="19"/>
        <v>40.44</v>
      </c>
      <c r="I75" s="138">
        <f t="shared" si="20"/>
        <v>5378.52</v>
      </c>
      <c r="K75" s="751">
        <f t="shared" ref="K75:K81" si="21">I75/$I$488</f>
        <v>1.4423155167121243E-3</v>
      </c>
    </row>
    <row r="76" spans="1:13" x14ac:dyDescent="0.2">
      <c r="A76" s="1517" t="s">
        <v>597</v>
      </c>
      <c r="B76" s="879" t="s">
        <v>621</v>
      </c>
      <c r="C76" s="878">
        <v>130890</v>
      </c>
      <c r="D76" s="870" t="s">
        <v>773</v>
      </c>
      <c r="E76" s="68" t="s">
        <v>6</v>
      </c>
      <c r="F76" s="10">
        <f>'PAV. 6'!C224</f>
        <v>32.739999999999995</v>
      </c>
      <c r="G76" s="162">
        <v>258.17</v>
      </c>
      <c r="H76" s="138">
        <f t="shared" ref="H76:H81" si="22">ROUND((G76*$K$11),2)</f>
        <v>332.57</v>
      </c>
      <c r="I76" s="138">
        <f t="shared" ref="I76:I81" si="23">ROUND(((F76*H76)),2)</f>
        <v>10888.34</v>
      </c>
      <c r="K76" s="751">
        <f t="shared" si="21"/>
        <v>2.9198407244441387E-3</v>
      </c>
    </row>
    <row r="77" spans="1:13" x14ac:dyDescent="0.2">
      <c r="A77" s="1517" t="s">
        <v>880</v>
      </c>
      <c r="B77" s="879" t="s">
        <v>621</v>
      </c>
      <c r="C77" s="878">
        <v>130728</v>
      </c>
      <c r="D77" s="870" t="s">
        <v>774</v>
      </c>
      <c r="E77" s="68" t="s">
        <v>6</v>
      </c>
      <c r="F77" s="10">
        <f>'PAV. 6'!C229</f>
        <v>6</v>
      </c>
      <c r="G77" s="162">
        <v>119.58</v>
      </c>
      <c r="H77" s="138">
        <f t="shared" si="22"/>
        <v>154.04</v>
      </c>
      <c r="I77" s="138">
        <f t="shared" si="23"/>
        <v>924.24</v>
      </c>
      <c r="K77" s="751">
        <f t="shared" si="21"/>
        <v>2.4784619061861136E-4</v>
      </c>
    </row>
    <row r="78" spans="1:13" ht="25.5" x14ac:dyDescent="0.2">
      <c r="A78" s="1517" t="s">
        <v>881</v>
      </c>
      <c r="B78" s="879" t="s">
        <v>282</v>
      </c>
      <c r="C78" s="878">
        <v>101092</v>
      </c>
      <c r="D78" s="870" t="s">
        <v>776</v>
      </c>
      <c r="E78" s="68" t="s">
        <v>6</v>
      </c>
      <c r="F78" s="10">
        <f>'PAV. 6'!C236</f>
        <v>17.52</v>
      </c>
      <c r="G78" s="162">
        <v>339.78</v>
      </c>
      <c r="H78" s="138">
        <f t="shared" si="22"/>
        <v>437.7</v>
      </c>
      <c r="I78" s="138">
        <f t="shared" si="23"/>
        <v>7668.5</v>
      </c>
      <c r="K78" s="751">
        <f t="shared" si="21"/>
        <v>2.0564014896118118E-3</v>
      </c>
    </row>
    <row r="79" spans="1:13" x14ac:dyDescent="0.2">
      <c r="A79" s="1517" t="s">
        <v>882</v>
      </c>
      <c r="B79" s="878" t="s">
        <v>282</v>
      </c>
      <c r="C79" s="878">
        <v>260520</v>
      </c>
      <c r="D79" s="869" t="s">
        <v>1742</v>
      </c>
      <c r="E79" s="68" t="s">
        <v>17</v>
      </c>
      <c r="F79" s="10">
        <f>'PAV. 6'!C244</f>
        <v>120.35</v>
      </c>
      <c r="G79" s="162">
        <v>44.48</v>
      </c>
      <c r="H79" s="137">
        <f t="shared" si="22"/>
        <v>57.3</v>
      </c>
      <c r="I79" s="138">
        <f t="shared" si="23"/>
        <v>6896.06</v>
      </c>
      <c r="K79" s="751">
        <f t="shared" si="21"/>
        <v>1.8492623142012693E-3</v>
      </c>
    </row>
    <row r="80" spans="1:13" x14ac:dyDescent="0.2">
      <c r="A80" s="1517" t="s">
        <v>883</v>
      </c>
      <c r="B80" s="878" t="s">
        <v>621</v>
      </c>
      <c r="C80" s="878">
        <v>120770</v>
      </c>
      <c r="D80" s="869" t="s">
        <v>791</v>
      </c>
      <c r="E80" s="68" t="s">
        <v>17</v>
      </c>
      <c r="F80" s="10">
        <f>'PAV. 6'!G281</f>
        <v>238.04</v>
      </c>
      <c r="G80" s="162">
        <v>23.4</v>
      </c>
      <c r="H80" s="137">
        <f t="shared" si="22"/>
        <v>30.14</v>
      </c>
      <c r="I80" s="138">
        <f t="shared" si="23"/>
        <v>7174.53</v>
      </c>
      <c r="K80" s="751">
        <f t="shared" si="21"/>
        <v>1.9239374296491664E-3</v>
      </c>
    </row>
    <row r="81" spans="1:12" x14ac:dyDescent="0.2">
      <c r="A81" s="1517" t="s">
        <v>1073</v>
      </c>
      <c r="B81" s="878" t="s">
        <v>621</v>
      </c>
      <c r="C81" s="878">
        <v>120771</v>
      </c>
      <c r="D81" s="869" t="s">
        <v>792</v>
      </c>
      <c r="E81" s="68" t="s">
        <v>17</v>
      </c>
      <c r="F81" s="10">
        <f>'PAV. 6'!C290</f>
        <v>10.3</v>
      </c>
      <c r="G81" s="162">
        <v>31.42</v>
      </c>
      <c r="H81" s="137">
        <f t="shared" si="22"/>
        <v>40.479999999999997</v>
      </c>
      <c r="I81" s="138">
        <f t="shared" si="23"/>
        <v>416.94</v>
      </c>
      <c r="K81" s="751">
        <f t="shared" si="21"/>
        <v>1.1180752912287265E-4</v>
      </c>
    </row>
    <row r="82" spans="1:12" x14ac:dyDescent="0.2">
      <c r="A82" s="1817" t="s">
        <v>1151</v>
      </c>
      <c r="B82" s="1818"/>
      <c r="C82" s="1818"/>
      <c r="D82" s="1818"/>
      <c r="E82" s="1818"/>
      <c r="F82" s="1818"/>
      <c r="G82" s="1818"/>
      <c r="H82" s="1819"/>
      <c r="I82" s="139">
        <f>SUM(I69:I81)</f>
        <v>395682.21</v>
      </c>
      <c r="K82" s="751"/>
    </row>
    <row r="83" spans="1:12" ht="13.5" thickBot="1" x14ac:dyDescent="0.25">
      <c r="A83" s="1"/>
      <c r="B83" s="1"/>
      <c r="C83" s="1"/>
      <c r="D83" s="1"/>
      <c r="E83" s="1"/>
      <c r="F83" s="1"/>
      <c r="G83" s="1"/>
      <c r="H83" s="1"/>
      <c r="I83" s="1124"/>
      <c r="K83" s="751"/>
    </row>
    <row r="84" spans="1:12" s="618" customFormat="1" ht="13.5" thickBot="1" x14ac:dyDescent="0.25">
      <c r="A84" s="90">
        <v>7</v>
      </c>
      <c r="B84" s="90"/>
      <c r="C84" s="90"/>
      <c r="D84" s="1827" t="s">
        <v>289</v>
      </c>
      <c r="E84" s="1828"/>
      <c r="F84" s="1828"/>
      <c r="G84" s="1828"/>
      <c r="H84" s="1828"/>
      <c r="I84" s="1829"/>
      <c r="J84" s="94">
        <f>I90/$I$488</f>
        <v>3.4734596173818917E-2</v>
      </c>
      <c r="K84" s="751"/>
    </row>
    <row r="85" spans="1:12" ht="13.5" thickBot="1" x14ac:dyDescent="0.25">
      <c r="A85" s="90" t="s">
        <v>15</v>
      </c>
      <c r="B85" s="446"/>
      <c r="C85" s="446"/>
      <c r="D85" s="1827" t="s">
        <v>40</v>
      </c>
      <c r="E85" s="1828"/>
      <c r="F85" s="1828"/>
      <c r="G85" s="1828"/>
      <c r="H85" s="1828"/>
      <c r="I85" s="1829"/>
      <c r="K85" s="751"/>
      <c r="L85" s="80">
        <f>I86/I90</f>
        <v>0.48354479672516426</v>
      </c>
    </row>
    <row r="86" spans="1:12" ht="39" thickBot="1" x14ac:dyDescent="0.25">
      <c r="A86" s="434" t="s">
        <v>884</v>
      </c>
      <c r="B86" s="822" t="s">
        <v>282</v>
      </c>
      <c r="C86" s="821">
        <v>103356</v>
      </c>
      <c r="D86" s="1129" t="s">
        <v>1340</v>
      </c>
      <c r="E86" s="51" t="s">
        <v>215</v>
      </c>
      <c r="F86" s="10">
        <f>'PAR. 7'!G109</f>
        <v>926.52000000000021</v>
      </c>
      <c r="G86" s="162">
        <v>52.48</v>
      </c>
      <c r="H86" s="137">
        <f t="shared" ref="H86" si="24">ROUND((G86*$K$11),2)</f>
        <v>67.599999999999994</v>
      </c>
      <c r="I86" s="138">
        <f t="shared" ref="I86" si="25">ROUND(((F86*H86)),2)</f>
        <v>62632.75</v>
      </c>
      <c r="K86" s="752">
        <f>I86/$I$488</f>
        <v>1.6795733246199939E-2</v>
      </c>
    </row>
    <row r="87" spans="1:12" ht="12.75" customHeight="1" thickBot="1" x14ac:dyDescent="0.25">
      <c r="A87" s="90" t="s">
        <v>16</v>
      </c>
      <c r="B87" s="446"/>
      <c r="C87" s="446"/>
      <c r="D87" s="1827" t="s">
        <v>307</v>
      </c>
      <c r="E87" s="1828"/>
      <c r="F87" s="1828"/>
      <c r="G87" s="1828"/>
      <c r="H87" s="1828"/>
      <c r="I87" s="1829"/>
      <c r="K87" s="751"/>
      <c r="L87" s="109"/>
    </row>
    <row r="88" spans="1:12" ht="38.25" x14ac:dyDescent="0.2">
      <c r="A88" s="434" t="s">
        <v>885</v>
      </c>
      <c r="B88" s="434" t="s">
        <v>282</v>
      </c>
      <c r="C88" s="435">
        <v>96370</v>
      </c>
      <c r="D88" s="11" t="s">
        <v>1737</v>
      </c>
      <c r="E88" s="51" t="s">
        <v>215</v>
      </c>
      <c r="F88" s="10">
        <f>'PAR. 7'!G132</f>
        <v>722.62</v>
      </c>
      <c r="G88" s="162">
        <v>62.98</v>
      </c>
      <c r="H88" s="137">
        <f t="shared" ref="H88" si="26">ROUND((G88*$K$11),2)</f>
        <v>81.13</v>
      </c>
      <c r="I88" s="138">
        <f t="shared" ref="I88" si="27">ROUND(((F88*H88)),2)</f>
        <v>58626.16</v>
      </c>
      <c r="K88" s="751">
        <f>I88/$I$488</f>
        <v>1.5721317435511566E-2</v>
      </c>
      <c r="L88" s="109">
        <f>I88/I90</f>
        <v>0.4526126446623685</v>
      </c>
    </row>
    <row r="89" spans="1:12" x14ac:dyDescent="0.2">
      <c r="A89" s="958" t="s">
        <v>1372</v>
      </c>
      <c r="B89" s="958" t="s">
        <v>621</v>
      </c>
      <c r="C89" s="1311">
        <v>161392</v>
      </c>
      <c r="D89" s="1129" t="s">
        <v>1740</v>
      </c>
      <c r="E89" s="51" t="s">
        <v>215</v>
      </c>
      <c r="F89" s="10">
        <f>'PAR. 7'!G146</f>
        <v>12.53</v>
      </c>
      <c r="G89" s="162">
        <v>512.32000000000005</v>
      </c>
      <c r="H89" s="138">
        <f>ROUND((G89*$K$11),2)</f>
        <v>659.97</v>
      </c>
      <c r="I89" s="138">
        <f>ROUND(((F89*H89)),2)</f>
        <v>8269.42</v>
      </c>
      <c r="K89" s="751"/>
      <c r="L89" s="109"/>
    </row>
    <row r="90" spans="1:12" ht="12.75" customHeight="1" x14ac:dyDescent="0.2">
      <c r="A90" s="1817" t="s">
        <v>1152</v>
      </c>
      <c r="B90" s="1818"/>
      <c r="C90" s="1818"/>
      <c r="D90" s="1818"/>
      <c r="E90" s="1818"/>
      <c r="F90" s="1818"/>
      <c r="G90" s="1818"/>
      <c r="H90" s="1819"/>
      <c r="I90" s="141">
        <f>SUM(I86:I89)</f>
        <v>129528.33</v>
      </c>
      <c r="K90" s="751"/>
      <c r="L90" s="109"/>
    </row>
    <row r="91" spans="1:12" ht="12.75" customHeight="1" thickBot="1" x14ac:dyDescent="0.25">
      <c r="A91" s="1"/>
      <c r="B91" s="1"/>
      <c r="C91" s="1"/>
      <c r="D91" s="1"/>
      <c r="E91" s="1"/>
      <c r="F91" s="1"/>
      <c r="G91" s="1"/>
      <c r="H91" s="1"/>
      <c r="I91" s="1126"/>
      <c r="K91" s="751"/>
      <c r="L91" s="109"/>
    </row>
    <row r="92" spans="1:12" ht="12.75" customHeight="1" thickBot="1" x14ac:dyDescent="0.25">
      <c r="A92" s="90">
        <v>8</v>
      </c>
      <c r="B92" s="90"/>
      <c r="C92" s="90"/>
      <c r="D92" s="1827" t="s">
        <v>43</v>
      </c>
      <c r="E92" s="1828"/>
      <c r="F92" s="1828"/>
      <c r="G92" s="1828"/>
      <c r="H92" s="1828"/>
      <c r="I92" s="1829"/>
      <c r="J92" s="94">
        <f>I97/$I$488</f>
        <v>3.0422615753582162E-2</v>
      </c>
      <c r="K92" s="751"/>
      <c r="L92" s="109"/>
    </row>
    <row r="93" spans="1:12" ht="38.25" x14ac:dyDescent="0.2">
      <c r="A93" s="17" t="s">
        <v>18</v>
      </c>
      <c r="B93" s="17" t="s">
        <v>282</v>
      </c>
      <c r="C93" s="17">
        <v>87878</v>
      </c>
      <c r="D93" s="18" t="s">
        <v>308</v>
      </c>
      <c r="E93" s="69" t="s">
        <v>6</v>
      </c>
      <c r="F93" s="893">
        <f>'REV. DE PAR. 8'!G113</f>
        <v>1853.0400000000004</v>
      </c>
      <c r="G93" s="313">
        <v>4.46</v>
      </c>
      <c r="H93" s="137">
        <f t="shared" ref="H93:H96" si="28">ROUND((G93*$K$11),2)</f>
        <v>5.75</v>
      </c>
      <c r="I93" s="138">
        <f t="shared" ref="I93:I96" si="29">ROUND(((F93*H93)),2)</f>
        <v>10654.98</v>
      </c>
      <c r="K93" s="751">
        <f>I93/$I$488</f>
        <v>2.8572624038317876E-3</v>
      </c>
      <c r="L93" s="80">
        <f>(I93+I94+I95)/I97</f>
        <v>0.58837025549372235</v>
      </c>
    </row>
    <row r="94" spans="1:12" ht="63.75" x14ac:dyDescent="0.2">
      <c r="A94" s="958" t="s">
        <v>19</v>
      </c>
      <c r="B94" s="17" t="s">
        <v>282</v>
      </c>
      <c r="C94" s="17">
        <v>87553</v>
      </c>
      <c r="D94" s="18" t="s">
        <v>1516</v>
      </c>
      <c r="E94" s="96" t="s">
        <v>215</v>
      </c>
      <c r="F94" s="893">
        <f>'REV. DE PAR. 8'!G156</f>
        <v>622.89999999999986</v>
      </c>
      <c r="G94" s="313">
        <v>20.77</v>
      </c>
      <c r="H94" s="137">
        <f t="shared" si="28"/>
        <v>26.76</v>
      </c>
      <c r="I94" s="138">
        <f t="shared" si="29"/>
        <v>16668.8</v>
      </c>
      <c r="K94" s="751">
        <f>I94/$I$488</f>
        <v>4.4699413379463218E-3</v>
      </c>
      <c r="L94" s="89"/>
    </row>
    <row r="95" spans="1:12" ht="51" x14ac:dyDescent="0.2">
      <c r="A95" s="958" t="s">
        <v>886</v>
      </c>
      <c r="B95" s="958" t="s">
        <v>282</v>
      </c>
      <c r="C95" s="1505">
        <v>87547</v>
      </c>
      <c r="D95" s="1129" t="s">
        <v>1370</v>
      </c>
      <c r="E95" s="68" t="s">
        <v>6</v>
      </c>
      <c r="F95" s="10">
        <f>'REV. DE PAR. 8'!F163</f>
        <v>1230.1400000000006</v>
      </c>
      <c r="G95" s="162">
        <v>24.88</v>
      </c>
      <c r="H95" s="137">
        <f t="shared" si="28"/>
        <v>32.049999999999997</v>
      </c>
      <c r="I95" s="138">
        <f t="shared" si="29"/>
        <v>39425.99</v>
      </c>
      <c r="K95" s="751">
        <f>I95/$I$488</f>
        <v>1.0572558461944369E-2</v>
      </c>
      <c r="L95" s="89"/>
    </row>
    <row r="96" spans="1:12" ht="51" x14ac:dyDescent="0.2">
      <c r="A96" s="958" t="s">
        <v>887</v>
      </c>
      <c r="B96" s="17" t="s">
        <v>282</v>
      </c>
      <c r="C96" s="395">
        <v>99195</v>
      </c>
      <c r="D96" s="396" t="s">
        <v>1512</v>
      </c>
      <c r="E96" s="69" t="s">
        <v>215</v>
      </c>
      <c r="F96" s="893">
        <f>'REV. DE PAR. 8'!C169</f>
        <v>622.89999999999986</v>
      </c>
      <c r="G96" s="313">
        <v>58.2</v>
      </c>
      <c r="H96" s="137">
        <f t="shared" si="28"/>
        <v>74.97</v>
      </c>
      <c r="I96" s="138">
        <f t="shared" si="29"/>
        <v>46698.81</v>
      </c>
      <c r="K96" s="751">
        <f>I96/$I$488</f>
        <v>1.2522853549859683E-2</v>
      </c>
    </row>
    <row r="97" spans="1:14" ht="12.75" customHeight="1" x14ac:dyDescent="0.2">
      <c r="A97" s="1817" t="s">
        <v>1153</v>
      </c>
      <c r="B97" s="1818"/>
      <c r="C97" s="1818"/>
      <c r="D97" s="1818"/>
      <c r="E97" s="1818"/>
      <c r="F97" s="1818"/>
      <c r="G97" s="1818"/>
      <c r="H97" s="1819"/>
      <c r="I97" s="141">
        <f>SUM(I93:I96)</f>
        <v>113448.57999999999</v>
      </c>
      <c r="K97" s="751"/>
    </row>
    <row r="98" spans="1:14" ht="13.5" thickBot="1" x14ac:dyDescent="0.25">
      <c r="A98" s="92"/>
      <c r="B98" s="92"/>
      <c r="C98" s="92"/>
      <c r="D98" s="3"/>
      <c r="E98" s="105"/>
      <c r="F98" s="106"/>
      <c r="G98" s="105"/>
      <c r="H98" s="105"/>
      <c r="I98" s="107"/>
      <c r="K98" s="751"/>
    </row>
    <row r="99" spans="1:14" ht="13.5" thickBot="1" x14ac:dyDescent="0.25">
      <c r="A99" s="90">
        <v>9</v>
      </c>
      <c r="B99" s="90"/>
      <c r="C99" s="90"/>
      <c r="D99" s="1827" t="s">
        <v>41</v>
      </c>
      <c r="E99" s="1828"/>
      <c r="F99" s="1828"/>
      <c r="G99" s="1828"/>
      <c r="H99" s="1828"/>
      <c r="I99" s="1829"/>
      <c r="J99" s="94">
        <f>I121/$I$488</f>
        <v>7.4679958456426096E-2</v>
      </c>
      <c r="K99" s="751"/>
    </row>
    <row r="100" spans="1:14" s="92" customFormat="1" x14ac:dyDescent="0.2">
      <c r="A100" s="7" t="s">
        <v>20</v>
      </c>
      <c r="B100" s="7"/>
      <c r="C100" s="7"/>
      <c r="D100" s="617" t="s">
        <v>352</v>
      </c>
      <c r="E100" s="617"/>
      <c r="F100" s="617"/>
      <c r="G100" s="617"/>
      <c r="H100" s="617"/>
      <c r="I100" s="617"/>
      <c r="J100" s="582"/>
      <c r="K100" s="751"/>
    </row>
    <row r="101" spans="1:14" ht="25.5" x14ac:dyDescent="0.2">
      <c r="A101" s="17" t="s">
        <v>888</v>
      </c>
      <c r="B101" s="17" t="s">
        <v>282</v>
      </c>
      <c r="C101" s="6">
        <v>93191</v>
      </c>
      <c r="D101" s="18" t="s">
        <v>1745</v>
      </c>
      <c r="E101" s="69" t="s">
        <v>17</v>
      </c>
      <c r="F101" s="893">
        <f>'ESQ. 9'!C36</f>
        <v>58.199999999999996</v>
      </c>
      <c r="G101" s="313">
        <v>47.17</v>
      </c>
      <c r="H101" s="138">
        <f t="shared" ref="H101:H106" si="30">ROUND((G101*$K$11),2)</f>
        <v>60.76</v>
      </c>
      <c r="I101" s="138">
        <f t="shared" ref="I101:I106" si="31">ROUND(((F101*H101)),2)</f>
        <v>3536.23</v>
      </c>
      <c r="K101" s="751">
        <f>I101/$I$488</f>
        <v>9.4828305921757557E-4</v>
      </c>
      <c r="M101" s="1107" t="e">
        <f>I101+#REF!+I103+I108+I109+I110+I113+I118+I119+#REF!+#REF!</f>
        <v>#REF!</v>
      </c>
      <c r="N101" s="905" t="e">
        <f>I121-M101</f>
        <v>#REF!</v>
      </c>
    </row>
    <row r="102" spans="1:14" x14ac:dyDescent="0.2">
      <c r="A102" s="958" t="s">
        <v>1384</v>
      </c>
      <c r="B102" s="958" t="s">
        <v>621</v>
      </c>
      <c r="C102" s="6">
        <v>91517</v>
      </c>
      <c r="D102" s="18" t="s">
        <v>1385</v>
      </c>
      <c r="E102" s="69" t="s">
        <v>215</v>
      </c>
      <c r="F102" s="893">
        <f>'ESQ. 9'!C56</f>
        <v>21.6</v>
      </c>
      <c r="G102" s="313">
        <v>645.96</v>
      </c>
      <c r="H102" s="138">
        <f t="shared" ref="H102" si="32">ROUND((G102*$K$11),2)</f>
        <v>832.13</v>
      </c>
      <c r="I102" s="138">
        <f t="shared" ref="I102" si="33">ROUND(((F102*H102)),2)</f>
        <v>17974.009999999998</v>
      </c>
      <c r="K102" s="751"/>
      <c r="M102" s="1107"/>
      <c r="N102" s="905"/>
    </row>
    <row r="103" spans="1:14" ht="38.25" x14ac:dyDescent="0.2">
      <c r="A103" s="958" t="s">
        <v>889</v>
      </c>
      <c r="B103" s="17" t="s">
        <v>282</v>
      </c>
      <c r="C103" s="108">
        <v>101162</v>
      </c>
      <c r="D103" s="11" t="s">
        <v>353</v>
      </c>
      <c r="E103" s="69" t="s">
        <v>6</v>
      </c>
      <c r="F103" s="893">
        <f>'ESQ. 9'!C65</f>
        <v>6.7</v>
      </c>
      <c r="G103" s="313">
        <v>143.47</v>
      </c>
      <c r="H103" s="138">
        <f t="shared" si="30"/>
        <v>184.82</v>
      </c>
      <c r="I103" s="138">
        <f t="shared" si="31"/>
        <v>1238.29</v>
      </c>
      <c r="K103" s="751">
        <f>I103/$I$488</f>
        <v>3.3206251555994141E-4</v>
      </c>
    </row>
    <row r="104" spans="1:14" ht="38.25" x14ac:dyDescent="0.2">
      <c r="A104" s="958" t="s">
        <v>890</v>
      </c>
      <c r="B104" s="17" t="s">
        <v>282</v>
      </c>
      <c r="C104" s="108">
        <v>101965</v>
      </c>
      <c r="D104" s="11" t="s">
        <v>664</v>
      </c>
      <c r="E104" s="69" t="s">
        <v>17</v>
      </c>
      <c r="F104" s="893">
        <f>'ESQ. 9'!C91</f>
        <v>93.73</v>
      </c>
      <c r="G104" s="313">
        <v>125.63</v>
      </c>
      <c r="H104" s="138">
        <f t="shared" si="30"/>
        <v>161.84</v>
      </c>
      <c r="I104" s="138">
        <f t="shared" si="31"/>
        <v>15169.26</v>
      </c>
      <c r="K104" s="751">
        <f>I104/$I$488</f>
        <v>4.067821459256553E-3</v>
      </c>
      <c r="N104" s="1097" t="e">
        <f>#REF!/4</f>
        <v>#REF!</v>
      </c>
    </row>
    <row r="105" spans="1:14" ht="31.5" customHeight="1" x14ac:dyDescent="0.2">
      <c r="A105" s="958" t="s">
        <v>891</v>
      </c>
      <c r="B105" s="1824" t="str">
        <f>COMPOSIÇÕES!A541</f>
        <v>COMPOSIÇÃO 52</v>
      </c>
      <c r="C105" s="1825"/>
      <c r="D105" s="1110" t="str">
        <f>COMPOSIÇÕES!C540</f>
        <v>FORNECIMENTO E INSTALAÇÃO DE ESQUADRIA VIDRO FIXO 6MM, COM ESTRUTURA EM ALUMINIO E BANCADA EM GRANITO.</v>
      </c>
      <c r="E105" s="958" t="s">
        <v>6</v>
      </c>
      <c r="F105" s="893">
        <f>'ESQ. 9'!C100</f>
        <v>12.5</v>
      </c>
      <c r="G105" s="313">
        <f>COMPOSIÇÕES!M549</f>
        <v>951.63</v>
      </c>
      <c r="H105" s="138">
        <f t="shared" si="30"/>
        <v>1225.8900000000001</v>
      </c>
      <c r="I105" s="138">
        <f t="shared" si="31"/>
        <v>15323.63</v>
      </c>
      <c r="K105" s="751">
        <f>I105/$I$488</f>
        <v>4.1092176512043102E-3</v>
      </c>
    </row>
    <row r="106" spans="1:14" x14ac:dyDescent="0.2">
      <c r="A106" s="958" t="s">
        <v>892</v>
      </c>
      <c r="B106" s="612" t="s">
        <v>621</v>
      </c>
      <c r="C106" s="108">
        <v>161391</v>
      </c>
      <c r="D106" s="1129" t="s">
        <v>1510</v>
      </c>
      <c r="E106" s="958" t="s">
        <v>215</v>
      </c>
      <c r="F106" s="893">
        <f>'ESQ. 9'!C121</f>
        <v>151.36000000000001</v>
      </c>
      <c r="G106" s="313">
        <v>461.79</v>
      </c>
      <c r="H106" s="138">
        <f t="shared" si="30"/>
        <v>594.88</v>
      </c>
      <c r="I106" s="138">
        <f t="shared" si="31"/>
        <v>90041.04</v>
      </c>
      <c r="K106" s="752">
        <f>I106/$I$488</f>
        <v>2.4145599371741114E-2</v>
      </c>
    </row>
    <row r="107" spans="1:14" s="92" customFormat="1" x14ac:dyDescent="0.2">
      <c r="A107" s="4" t="s">
        <v>21</v>
      </c>
      <c r="B107" s="4"/>
      <c r="C107" s="4"/>
      <c r="D107" s="14" t="s">
        <v>74</v>
      </c>
      <c r="E107" s="14"/>
      <c r="F107" s="14"/>
      <c r="G107" s="14"/>
      <c r="H107" s="14"/>
      <c r="I107" s="14"/>
      <c r="J107" s="582"/>
      <c r="K107" s="751"/>
    </row>
    <row r="108" spans="1:14" ht="25.5" x14ac:dyDescent="0.2">
      <c r="A108" s="561" t="s">
        <v>893</v>
      </c>
      <c r="B108" s="561" t="s">
        <v>282</v>
      </c>
      <c r="C108" s="6">
        <v>93193</v>
      </c>
      <c r="D108" s="18" t="s">
        <v>1746</v>
      </c>
      <c r="E108" s="958" t="s">
        <v>17</v>
      </c>
      <c r="F108" s="893">
        <f>'ESQ. 9'!C137</f>
        <v>72.900000000000006</v>
      </c>
      <c r="G108" s="313">
        <v>48.48</v>
      </c>
      <c r="H108" s="138">
        <f t="shared" ref="H108:H120" si="34">ROUND((G108*$K$11),2)</f>
        <v>62.45</v>
      </c>
      <c r="I108" s="138">
        <f t="shared" ref="I108:I120" si="35">ROUND(((F108*H108)),2)</f>
        <v>4552.6099999999997</v>
      </c>
      <c r="K108" s="751">
        <f>I108/$I$488</f>
        <v>1.22083771084588E-3</v>
      </c>
    </row>
    <row r="109" spans="1:14" ht="51" x14ac:dyDescent="0.2">
      <c r="A109" s="958" t="s">
        <v>894</v>
      </c>
      <c r="B109" s="716" t="s">
        <v>282</v>
      </c>
      <c r="C109" s="2">
        <v>90795</v>
      </c>
      <c r="D109" s="1129" t="s">
        <v>1252</v>
      </c>
      <c r="E109" s="958" t="s">
        <v>96</v>
      </c>
      <c r="F109" s="893">
        <f>'ESQ. 9'!C148</f>
        <v>3</v>
      </c>
      <c r="G109" s="313">
        <v>562.64</v>
      </c>
      <c r="H109" s="138">
        <f t="shared" si="34"/>
        <v>724.79</v>
      </c>
      <c r="I109" s="138">
        <f t="shared" si="35"/>
        <v>2174.37</v>
      </c>
      <c r="K109" s="751">
        <f>I109/$I$488</f>
        <v>5.8308374609991988E-4</v>
      </c>
    </row>
    <row r="110" spans="1:14" ht="51" x14ac:dyDescent="0.2">
      <c r="A110" s="958" t="s">
        <v>1463</v>
      </c>
      <c r="B110" s="716" t="s">
        <v>282</v>
      </c>
      <c r="C110" s="6">
        <v>90797</v>
      </c>
      <c r="D110" s="1129" t="s">
        <v>1254</v>
      </c>
      <c r="E110" s="958" t="s">
        <v>96</v>
      </c>
      <c r="F110" s="893">
        <f>'ESQ. 9'!C159</f>
        <v>32</v>
      </c>
      <c r="G110" s="313">
        <v>574.5</v>
      </c>
      <c r="H110" s="138">
        <f t="shared" si="34"/>
        <v>740.07</v>
      </c>
      <c r="I110" s="138">
        <f t="shared" si="35"/>
        <v>23682.240000000002</v>
      </c>
      <c r="K110" s="751">
        <f>I110/$I$488</f>
        <v>6.350680525962632E-3</v>
      </c>
    </row>
    <row r="111" spans="1:14" ht="51" x14ac:dyDescent="0.2">
      <c r="A111" s="958" t="s">
        <v>895</v>
      </c>
      <c r="B111" s="1197" t="s">
        <v>282</v>
      </c>
      <c r="C111" s="2">
        <v>90796</v>
      </c>
      <c r="D111" s="1129" t="s">
        <v>1253</v>
      </c>
      <c r="E111" s="958" t="s">
        <v>96</v>
      </c>
      <c r="F111" s="10">
        <f>'ESQ. 9'!C167</f>
        <v>5</v>
      </c>
      <c r="G111" s="162">
        <v>568.59</v>
      </c>
      <c r="H111" s="138">
        <f t="shared" ref="H111" si="36">ROUND((G111*$K$11),2)</f>
        <v>732.46</v>
      </c>
      <c r="I111" s="138">
        <f t="shared" ref="I111" si="37">ROUND(((F111*H111)),2)</f>
        <v>3662.3</v>
      </c>
      <c r="K111" s="751"/>
    </row>
    <row r="112" spans="1:14" ht="51" x14ac:dyDescent="0.2">
      <c r="A112" s="958" t="s">
        <v>896</v>
      </c>
      <c r="B112" s="1824" t="str">
        <f>COMPOSIÇÕES!A383</f>
        <v>COMPOSIÇÃO 39</v>
      </c>
      <c r="C112" s="1825"/>
      <c r="D112" s="18" t="str">
        <f>COMPOSIÇÕES!C382</f>
        <v>KIT DE PORTA DE MADEIRA DE MADEIRA EM ACABAMENTO MELAMÍNICO BRANCO, FOLHA LEVE OU MÉDIA, 90X210, ITENS INCLUSOS: DOBRADIÇAS, BARRA DE APOIO EM AÇO INOX PARA PCD, CHAPA DE AÇO INOX E FECHADURA - FORNECIMENTO E INSTALAÇÃO.</v>
      </c>
      <c r="E112" s="958" t="s">
        <v>96</v>
      </c>
      <c r="F112" s="893">
        <f>'ESQ. 9'!C176</f>
        <v>2</v>
      </c>
      <c r="G112" s="313">
        <f>COMPOSIÇÕES!M391</f>
        <v>1778.01</v>
      </c>
      <c r="H112" s="138">
        <f t="shared" ref="H112" si="38">ROUND((G112*$K$11),2)</f>
        <v>2290.4299999999998</v>
      </c>
      <c r="I112" s="138">
        <f t="shared" ref="I112" si="39">ROUND(((F112*H112)),2)</f>
        <v>4580.8599999999997</v>
      </c>
      <c r="K112" s="751"/>
    </row>
    <row r="113" spans="1:11" ht="68.25" customHeight="1" x14ac:dyDescent="0.2">
      <c r="A113" s="958" t="s">
        <v>897</v>
      </c>
      <c r="B113" s="1824" t="str">
        <f>COMPOSIÇÕES!A61</f>
        <v>COMPOSIÇÃO 5</v>
      </c>
      <c r="C113" s="1825"/>
      <c r="D113" s="396" t="str">
        <f>COMPOSIÇÕES!C60</f>
        <v>PORTA DE MADEIRA, EM ACABAMENTO MELAMÍNICO BRANCO, FOLHA LEVE OU MÉDIA, 2 FOLHAS DE 70X210CM, ESPESSURA DE 3,5CM, ITENS INCLUSOS: DOBRADIÇAS, MONTAGEM E INSTALAÇÃO DO BATENTE, FECHADURA COM EXECUÇÃO DO FURO - FORNECIMENTO E INSTALAÇÃO.</v>
      </c>
      <c r="E113" s="958" t="s">
        <v>96</v>
      </c>
      <c r="F113" s="893">
        <f>'ESQ. 9'!C186</f>
        <v>4</v>
      </c>
      <c r="G113" s="313">
        <f>COMPOSIÇÕES!M66</f>
        <v>1998.89</v>
      </c>
      <c r="H113" s="138">
        <f t="shared" si="34"/>
        <v>2574.9699999999998</v>
      </c>
      <c r="I113" s="138">
        <f t="shared" si="35"/>
        <v>10299.879999999999</v>
      </c>
      <c r="K113" s="751">
        <f>I113/$I$488</f>
        <v>2.7620380224063256E-3</v>
      </c>
    </row>
    <row r="114" spans="1:11" ht="51.75" customHeight="1" x14ac:dyDescent="0.2">
      <c r="A114" s="958" t="s">
        <v>898</v>
      </c>
      <c r="B114" s="1209" t="s">
        <v>282</v>
      </c>
      <c r="C114" s="1210">
        <v>91307</v>
      </c>
      <c r="D114" s="396" t="s">
        <v>1260</v>
      </c>
      <c r="E114" s="958" t="s">
        <v>96</v>
      </c>
      <c r="F114" s="893">
        <f>'ESQ. 9'!C200</f>
        <v>40</v>
      </c>
      <c r="G114" s="313">
        <v>78.8</v>
      </c>
      <c r="H114" s="138">
        <f t="shared" ref="H114" si="40">ROUND((G114*$K$11),2)</f>
        <v>101.51</v>
      </c>
      <c r="I114" s="138">
        <f t="shared" ref="I114" si="41">ROUND(((F114*H114)),2)</f>
        <v>4060.4</v>
      </c>
      <c r="K114" s="751"/>
    </row>
    <row r="115" spans="1:11" ht="58.5" customHeight="1" x14ac:dyDescent="0.2">
      <c r="A115" s="958" t="s">
        <v>1734</v>
      </c>
      <c r="B115" s="1824" t="str">
        <f>COMPOSIÇÕES!A80</f>
        <v>COMPOSIÇÃO 7</v>
      </c>
      <c r="C115" s="1825"/>
      <c r="D115" s="1110" t="str">
        <f>COMPOSIÇÕES!C79</f>
        <v>FORNECIMENTO E INSTALAÇÃO DE PORTA DE ABRIR COM MOLA HIDRÁULICA, EM VIDRO TEMPERADO, 2 FOLHAS DE 75X210 CM, ESPESSURA 10MM, INCLUSIVE ACESSÓRIOS E BARRA ANTIPÂNICO DUPLA.</v>
      </c>
      <c r="E115" s="958" t="s">
        <v>96</v>
      </c>
      <c r="F115" s="893">
        <f>'ESQ. 9'!C208</f>
        <v>6</v>
      </c>
      <c r="G115" s="313">
        <f>COMPOSIÇÕES!M87</f>
        <v>3263.94</v>
      </c>
      <c r="H115" s="138">
        <f t="shared" si="34"/>
        <v>4204.6099999999997</v>
      </c>
      <c r="I115" s="138">
        <f t="shared" si="35"/>
        <v>25227.66</v>
      </c>
      <c r="K115" s="752">
        <f t="shared" ref="K115:K120" si="42">I115/$I$488</f>
        <v>6.765103684347698E-3</v>
      </c>
    </row>
    <row r="116" spans="1:11" ht="55.5" customHeight="1" x14ac:dyDescent="0.2">
      <c r="A116" s="958" t="s">
        <v>1735</v>
      </c>
      <c r="B116" s="1824" t="str">
        <f>COMPOSIÇÕES!A70</f>
        <v>COMPOSIÇÃO 6</v>
      </c>
      <c r="C116" s="1825"/>
      <c r="D116" s="1110" t="str">
        <f>COMPOSIÇÕES!C69</f>
        <v>FORNECIMENTO E INSTALAÇÃO DE PORTA DE ABRIR COM MOLA HIDRÁULICA, EM VIDRO TEMPERADO, 2 FOLHAS DE 90X210 CM, ESPESSURA 10MM, INCLUSIVE ACESSÓRIOS E BARRA ANTIPÂNICO DUPLA.</v>
      </c>
      <c r="E116" s="958" t="s">
        <v>96</v>
      </c>
      <c r="F116" s="893">
        <f>'ESQ. 9'!C217</f>
        <v>2</v>
      </c>
      <c r="G116" s="313">
        <f>COMPOSIÇÕES!M76</f>
        <v>9938.3300000000017</v>
      </c>
      <c r="H116" s="138">
        <f t="shared" si="34"/>
        <v>12802.56</v>
      </c>
      <c r="I116" s="138">
        <f t="shared" si="35"/>
        <v>25605.119999999999</v>
      </c>
      <c r="K116" s="751">
        <f t="shared" si="42"/>
        <v>6.8663241715706067E-3</v>
      </c>
    </row>
    <row r="117" spans="1:11" ht="38.25" x14ac:dyDescent="0.2">
      <c r="A117" s="958" t="s">
        <v>899</v>
      </c>
      <c r="B117" s="561" t="s">
        <v>282</v>
      </c>
      <c r="C117" s="108">
        <v>91341</v>
      </c>
      <c r="D117" s="1129" t="s">
        <v>354</v>
      </c>
      <c r="E117" s="958" t="s">
        <v>6</v>
      </c>
      <c r="F117" s="893">
        <f>'ESQ. 9'!C229</f>
        <v>20.11</v>
      </c>
      <c r="G117" s="313">
        <v>447.74</v>
      </c>
      <c r="H117" s="138">
        <f t="shared" si="34"/>
        <v>576.78</v>
      </c>
      <c r="I117" s="138">
        <f t="shared" si="35"/>
        <v>11599.05</v>
      </c>
      <c r="K117" s="751">
        <f t="shared" si="42"/>
        <v>3.110426249994378E-3</v>
      </c>
    </row>
    <row r="118" spans="1:11" ht="38.25" x14ac:dyDescent="0.2">
      <c r="A118" s="958" t="s">
        <v>900</v>
      </c>
      <c r="B118" s="1824" t="str">
        <f>COMPOSIÇÕES!A91</f>
        <v>COMPOSIÇÃO 8</v>
      </c>
      <c r="C118" s="1825"/>
      <c r="D118" s="1129" t="str">
        <f>COMPOSIÇÕES!C90</f>
        <v>FORNECIMENTO E INSTALAÇÃO DE PORTÃO DE ABRIR 4,00x2,00M EM GRADIL, INCLUINDO DOBRADIÇA, CADEADO, LIXAMENTO E PINTURA ANTICORROSIVA.</v>
      </c>
      <c r="E118" s="958" t="s">
        <v>96</v>
      </c>
      <c r="F118" s="893">
        <f>'ESQ. 9'!C235</f>
        <v>1</v>
      </c>
      <c r="G118" s="313">
        <f>COMPOSIÇÕES!M102</f>
        <v>4917.4800000000005</v>
      </c>
      <c r="H118" s="138">
        <f t="shared" si="34"/>
        <v>6334.7</v>
      </c>
      <c r="I118" s="138">
        <f t="shared" si="35"/>
        <v>6334.7</v>
      </c>
      <c r="K118" s="751">
        <f t="shared" si="42"/>
        <v>1.6987268065780719E-3</v>
      </c>
    </row>
    <row r="119" spans="1:11" ht="38.25" x14ac:dyDescent="0.2">
      <c r="A119" s="958" t="s">
        <v>901</v>
      </c>
      <c r="B119" s="1824" t="str">
        <f>COMPOSIÇÕES!A106</f>
        <v>COMPOSIÇÃO 9</v>
      </c>
      <c r="C119" s="1825"/>
      <c r="D119" s="1129" t="str">
        <f>COMPOSIÇÕES!C105</f>
        <v>FORNECIMENTO E INSTALAÇÃO DE PORTÃO DE ABRIR 1,00x2,00M EM GRADIL, INCLUINDO DOBRADIÇA, CADEADO, LIXAMENTO E PINTURA ANTICORROSIVA.</v>
      </c>
      <c r="E119" s="958" t="s">
        <v>96</v>
      </c>
      <c r="F119" s="893">
        <f>'ESQ. 9'!C241</f>
        <v>4</v>
      </c>
      <c r="G119" s="313">
        <f>COMPOSIÇÕES!M117</f>
        <v>1358.9700000000003</v>
      </c>
      <c r="H119" s="138">
        <f t="shared" si="34"/>
        <v>1750.63</v>
      </c>
      <c r="I119" s="138">
        <f t="shared" si="35"/>
        <v>7002.52</v>
      </c>
      <c r="K119" s="751">
        <f t="shared" si="42"/>
        <v>1.8778108572780213E-3</v>
      </c>
    </row>
    <row r="120" spans="1:11" ht="21.75" customHeight="1" x14ac:dyDescent="0.2">
      <c r="A120" s="958" t="s">
        <v>902</v>
      </c>
      <c r="B120" s="561" t="s">
        <v>282</v>
      </c>
      <c r="C120" s="108">
        <v>98689</v>
      </c>
      <c r="D120" s="11" t="s">
        <v>355</v>
      </c>
      <c r="E120" s="69" t="s">
        <v>17</v>
      </c>
      <c r="F120" s="893">
        <f>'ESQ. 9'!C256</f>
        <v>58.14</v>
      </c>
      <c r="G120" s="313">
        <v>85.77</v>
      </c>
      <c r="H120" s="138">
        <f t="shared" si="34"/>
        <v>110.49</v>
      </c>
      <c r="I120" s="138">
        <f t="shared" si="35"/>
        <v>6423.89</v>
      </c>
      <c r="K120" s="751">
        <f t="shared" si="42"/>
        <v>1.7226441892289788E-3</v>
      </c>
    </row>
    <row r="121" spans="1:11" ht="12.75" customHeight="1" x14ac:dyDescent="0.2">
      <c r="A121" s="1817" t="s">
        <v>1154</v>
      </c>
      <c r="B121" s="1818"/>
      <c r="C121" s="1818"/>
      <c r="D121" s="1818"/>
      <c r="E121" s="1818"/>
      <c r="F121" s="1818"/>
      <c r="G121" s="1818"/>
      <c r="H121" s="1819"/>
      <c r="I121" s="141">
        <f>SUM(I101:I120)</f>
        <v>278488.05999999994</v>
      </c>
      <c r="K121" s="751"/>
    </row>
    <row r="122" spans="1:11" ht="13.5" thickBot="1" x14ac:dyDescent="0.25">
      <c r="K122" s="751"/>
    </row>
    <row r="123" spans="1:11" ht="13.5" thickBot="1" x14ac:dyDescent="0.25">
      <c r="A123" s="91">
        <v>10</v>
      </c>
      <c r="B123" s="91"/>
      <c r="C123" s="427"/>
      <c r="D123" s="1828" t="s">
        <v>45</v>
      </c>
      <c r="E123" s="1828"/>
      <c r="F123" s="1828"/>
      <c r="G123" s="1828"/>
      <c r="H123" s="1828"/>
      <c r="I123" s="1829"/>
      <c r="J123" s="94">
        <f>I130/$I$488</f>
        <v>3.542630704587723E-2</v>
      </c>
      <c r="K123" s="751"/>
    </row>
    <row r="124" spans="1:11" ht="25.5" x14ac:dyDescent="0.2">
      <c r="A124" s="561" t="s">
        <v>22</v>
      </c>
      <c r="B124" s="561" t="s">
        <v>282</v>
      </c>
      <c r="C124" s="561">
        <v>88485</v>
      </c>
      <c r="D124" s="18" t="s">
        <v>361</v>
      </c>
      <c r="E124" s="69" t="s">
        <v>6</v>
      </c>
      <c r="F124" s="868">
        <f>'PINT. 10'!C23</f>
        <v>2675.3800000000006</v>
      </c>
      <c r="G124" s="313">
        <v>2.2599999999999998</v>
      </c>
      <c r="H124" s="138">
        <f>ROUND((G124*$K$11),2)</f>
        <v>2.91</v>
      </c>
      <c r="I124" s="138">
        <f>ROUND(((F124*H124)),2)</f>
        <v>7785.36</v>
      </c>
      <c r="K124" s="751">
        <f>I124/$I$488</f>
        <v>2.087738919105981E-3</v>
      </c>
    </row>
    <row r="125" spans="1:11" ht="25.5" x14ac:dyDescent="0.2">
      <c r="A125" s="958" t="s">
        <v>23</v>
      </c>
      <c r="B125" s="17" t="s">
        <v>282</v>
      </c>
      <c r="C125" s="17">
        <v>88497</v>
      </c>
      <c r="D125" s="18" t="s">
        <v>207</v>
      </c>
      <c r="E125" s="69" t="s">
        <v>6</v>
      </c>
      <c r="F125" s="868">
        <f>'PINT. 10'!C33</f>
        <v>2675.3800000000006</v>
      </c>
      <c r="G125" s="313">
        <v>21.08</v>
      </c>
      <c r="H125" s="138">
        <v>12.41</v>
      </c>
      <c r="I125" s="138">
        <f>ROUND(((F125*H125)),2)</f>
        <v>33201.47</v>
      </c>
      <c r="K125" s="751">
        <f>I125/$I$488</f>
        <v>8.9033777616615885E-3</v>
      </c>
    </row>
    <row r="126" spans="1:11" ht="25.5" x14ac:dyDescent="0.2">
      <c r="A126" s="958" t="s">
        <v>903</v>
      </c>
      <c r="B126" s="17" t="s">
        <v>282</v>
      </c>
      <c r="C126" s="13">
        <v>88489</v>
      </c>
      <c r="D126" s="11" t="s">
        <v>208</v>
      </c>
      <c r="E126" s="68" t="s">
        <v>6</v>
      </c>
      <c r="F126" s="868">
        <f>'PINT. 10'!C42</f>
        <v>2675.3800000000006</v>
      </c>
      <c r="G126" s="162">
        <v>13.48</v>
      </c>
      <c r="H126" s="138">
        <f>ROUND((G126*$K$11),2)</f>
        <v>17.36</v>
      </c>
      <c r="I126" s="138">
        <f>ROUND(((F126*H126)),2)</f>
        <v>46444.6</v>
      </c>
      <c r="K126" s="751">
        <f>I126/$I$488</f>
        <v>1.2454684048304722E-2</v>
      </c>
    </row>
    <row r="127" spans="1:11" x14ac:dyDescent="0.2">
      <c r="A127" s="1243"/>
      <c r="B127" s="1244"/>
      <c r="C127" s="625"/>
      <c r="D127" s="1248" t="s">
        <v>1249</v>
      </c>
      <c r="E127" s="1245"/>
      <c r="F127" s="1246"/>
      <c r="G127" s="320"/>
      <c r="H127" s="1247"/>
      <c r="I127" s="138"/>
      <c r="K127" s="751"/>
    </row>
    <row r="128" spans="1:11" ht="25.5" x14ac:dyDescent="0.2">
      <c r="A128" s="958" t="s">
        <v>1250</v>
      </c>
      <c r="B128" s="958" t="s">
        <v>282</v>
      </c>
      <c r="C128" s="958">
        <v>88484</v>
      </c>
      <c r="D128" s="18" t="s">
        <v>1514</v>
      </c>
      <c r="E128" s="69" t="s">
        <v>215</v>
      </c>
      <c r="F128" s="868">
        <f>'PINT. 10'!D83</f>
        <v>1462.88</v>
      </c>
      <c r="G128" s="313">
        <v>2.62</v>
      </c>
      <c r="H128" s="138">
        <f>ROUND((G128*$K$11),2)</f>
        <v>3.38</v>
      </c>
      <c r="I128" s="138">
        <f>ROUND(((F128*H128)),2)</f>
        <v>4944.53</v>
      </c>
      <c r="K128" s="751"/>
    </row>
    <row r="129" spans="1:13" x14ac:dyDescent="0.2">
      <c r="A129" s="1243" t="s">
        <v>1513</v>
      </c>
      <c r="B129" s="958" t="s">
        <v>621</v>
      </c>
      <c r="C129" s="1210">
        <v>150178</v>
      </c>
      <c r="D129" s="1129" t="s">
        <v>1515</v>
      </c>
      <c r="E129" s="68" t="s">
        <v>215</v>
      </c>
      <c r="F129" s="322">
        <f>'PINT. 10'!D83</f>
        <v>1462.88</v>
      </c>
      <c r="G129" s="162">
        <v>21.08</v>
      </c>
      <c r="H129" s="138">
        <f>ROUND((G129*$K$11),2)</f>
        <v>27.16</v>
      </c>
      <c r="I129" s="138">
        <f>ROUND(((F129*H129)),2)</f>
        <v>39731.82</v>
      </c>
      <c r="K129" s="751"/>
    </row>
    <row r="130" spans="1:13" ht="12.75" customHeight="1" x14ac:dyDescent="0.2">
      <c r="A130" s="1817" t="s">
        <v>1155</v>
      </c>
      <c r="B130" s="1818"/>
      <c r="C130" s="1818"/>
      <c r="D130" s="1818"/>
      <c r="E130" s="1818"/>
      <c r="F130" s="1818"/>
      <c r="G130" s="1818"/>
      <c r="H130" s="1819"/>
      <c r="I130" s="141">
        <f>ROUND(SUM(I124:I129),2)</f>
        <v>132107.78</v>
      </c>
      <c r="K130" s="751"/>
    </row>
    <row r="131" spans="1:13" ht="13.5" thickBot="1" x14ac:dyDescent="0.25">
      <c r="K131" s="751"/>
    </row>
    <row r="132" spans="1:13" ht="13.5" thickBot="1" x14ac:dyDescent="0.25">
      <c r="A132" s="90">
        <v>11</v>
      </c>
      <c r="B132" s="90"/>
      <c r="C132" s="90"/>
      <c r="D132" s="1827" t="s">
        <v>678</v>
      </c>
      <c r="E132" s="1828"/>
      <c r="F132" s="1828"/>
      <c r="G132" s="1828"/>
      <c r="H132" s="1828"/>
      <c r="I132" s="1829"/>
      <c r="J132" s="94">
        <f>I258/$I$488</f>
        <v>0.13754147975797945</v>
      </c>
      <c r="K132" s="751"/>
    </row>
    <row r="133" spans="1:13" s="166" customFormat="1" ht="13.5" outlineLevel="1" thickBot="1" x14ac:dyDescent="0.25">
      <c r="A133" s="1273" t="s">
        <v>24</v>
      </c>
      <c r="B133" s="1521"/>
      <c r="C133" s="1521"/>
      <c r="D133" s="1522" t="s">
        <v>1519</v>
      </c>
      <c r="E133" s="1523"/>
      <c r="F133" s="1523"/>
      <c r="G133" s="1523"/>
      <c r="H133" s="1523"/>
      <c r="I133" s="1524"/>
      <c r="J133" s="1525"/>
      <c r="K133" s="986"/>
    </row>
    <row r="134" spans="1:13" s="1528" customFormat="1" ht="25.5" outlineLevel="1" x14ac:dyDescent="0.2">
      <c r="A134" s="108" t="s">
        <v>904</v>
      </c>
      <c r="B134" s="108" t="s">
        <v>621</v>
      </c>
      <c r="C134" s="68">
        <v>170695</v>
      </c>
      <c r="D134" s="1526" t="s">
        <v>1520</v>
      </c>
      <c r="E134" s="108" t="s">
        <v>220</v>
      </c>
      <c r="F134" s="322">
        <f>'ELE. 11'!D18</f>
        <v>1</v>
      </c>
      <c r="G134" s="350">
        <v>68521.97</v>
      </c>
      <c r="H134" s="137">
        <f t="shared" ref="H134:H142" si="43">ROUND((G134*$K$11),2)</f>
        <v>88270</v>
      </c>
      <c r="I134" s="138">
        <f t="shared" ref="I134:I142" si="44">ROUND(((F134*H134)),2)</f>
        <v>88270</v>
      </c>
      <c r="J134" s="166"/>
      <c r="K134" s="1527"/>
    </row>
    <row r="135" spans="1:13" s="1528" customFormat="1" ht="25.5" outlineLevel="1" x14ac:dyDescent="0.2">
      <c r="A135" s="108" t="s">
        <v>905</v>
      </c>
      <c r="B135" s="108" t="s">
        <v>282</v>
      </c>
      <c r="C135" s="68">
        <v>98111</v>
      </c>
      <c r="D135" s="1526" t="s">
        <v>711</v>
      </c>
      <c r="E135" s="108" t="s">
        <v>220</v>
      </c>
      <c r="F135" s="322">
        <f>'ELE. 11'!D22</f>
        <v>1</v>
      </c>
      <c r="G135" s="350">
        <v>49.16</v>
      </c>
      <c r="H135" s="137">
        <f t="shared" si="43"/>
        <v>63.33</v>
      </c>
      <c r="I135" s="138">
        <f t="shared" si="44"/>
        <v>63.33</v>
      </c>
      <c r="J135" s="166"/>
      <c r="K135" s="1527"/>
      <c r="M135" s="1529"/>
    </row>
    <row r="136" spans="1:13" s="1528" customFormat="1" ht="25.5" outlineLevel="1" x14ac:dyDescent="0.2">
      <c r="A136" s="108" t="s">
        <v>1298</v>
      </c>
      <c r="B136" s="108" t="s">
        <v>282</v>
      </c>
      <c r="C136" s="68">
        <v>96985</v>
      </c>
      <c r="D136" s="1526" t="s">
        <v>834</v>
      </c>
      <c r="E136" s="108" t="s">
        <v>220</v>
      </c>
      <c r="F136" s="322">
        <f>'ELE. 11'!D26</f>
        <v>6</v>
      </c>
      <c r="G136" s="350">
        <v>86.05</v>
      </c>
      <c r="H136" s="137">
        <f t="shared" si="43"/>
        <v>110.85</v>
      </c>
      <c r="I136" s="138">
        <f t="shared" si="44"/>
        <v>665.1</v>
      </c>
      <c r="J136" s="166"/>
      <c r="K136" s="1527"/>
      <c r="M136" s="1530"/>
    </row>
    <row r="137" spans="1:13" s="1528" customFormat="1" ht="25.5" outlineLevel="1" x14ac:dyDescent="0.2">
      <c r="A137" s="108" t="s">
        <v>1299</v>
      </c>
      <c r="B137" s="108" t="s">
        <v>282</v>
      </c>
      <c r="C137" s="68">
        <v>96977</v>
      </c>
      <c r="D137" s="1392" t="s">
        <v>1521</v>
      </c>
      <c r="E137" s="108" t="s">
        <v>214</v>
      </c>
      <c r="F137" s="322">
        <f>'ELE. 11'!D30</f>
        <v>24</v>
      </c>
      <c r="G137" s="350">
        <v>54.75</v>
      </c>
      <c r="H137" s="137">
        <f t="shared" si="43"/>
        <v>70.53</v>
      </c>
      <c r="I137" s="138">
        <f t="shared" si="44"/>
        <v>1692.72</v>
      </c>
      <c r="J137" s="166"/>
      <c r="K137" s="1527"/>
    </row>
    <row r="138" spans="1:13" s="1528" customFormat="1" ht="38.25" outlineLevel="1" x14ac:dyDescent="0.2">
      <c r="A138" s="108" t="s">
        <v>1300</v>
      </c>
      <c r="B138" s="108" t="s">
        <v>282</v>
      </c>
      <c r="C138" s="68">
        <v>97670</v>
      </c>
      <c r="D138" s="1526" t="s">
        <v>1522</v>
      </c>
      <c r="E138" s="108" t="s">
        <v>214</v>
      </c>
      <c r="F138" s="322">
        <f>'ELE. 11'!D34</f>
        <v>25</v>
      </c>
      <c r="G138" s="350">
        <v>20.53</v>
      </c>
      <c r="H138" s="137">
        <f t="shared" si="43"/>
        <v>26.45</v>
      </c>
      <c r="I138" s="138">
        <f t="shared" si="44"/>
        <v>661.25</v>
      </c>
      <c r="J138" s="166"/>
      <c r="K138" s="1527"/>
    </row>
    <row r="139" spans="1:13" s="1528" customFormat="1" ht="38.25" outlineLevel="1" x14ac:dyDescent="0.2">
      <c r="A139" s="108" t="s">
        <v>1301</v>
      </c>
      <c r="B139" s="108" t="s">
        <v>282</v>
      </c>
      <c r="C139" s="68">
        <v>97884</v>
      </c>
      <c r="D139" s="1526" t="s">
        <v>1523</v>
      </c>
      <c r="E139" s="108" t="s">
        <v>220</v>
      </c>
      <c r="F139" s="322">
        <f>'ELE. 11'!D38</f>
        <v>1</v>
      </c>
      <c r="G139" s="350">
        <v>714</v>
      </c>
      <c r="H139" s="137">
        <f t="shared" si="43"/>
        <v>919.77</v>
      </c>
      <c r="I139" s="138">
        <f t="shared" si="44"/>
        <v>919.77</v>
      </c>
      <c r="J139" s="166"/>
      <c r="K139" s="1527"/>
    </row>
    <row r="140" spans="1:13" s="166" customFormat="1" ht="38.25" outlineLevel="1" x14ac:dyDescent="0.2">
      <c r="A140" s="108" t="s">
        <v>1302</v>
      </c>
      <c r="B140" s="108" t="s">
        <v>282</v>
      </c>
      <c r="C140" s="68">
        <v>97882</v>
      </c>
      <c r="D140" s="1392" t="s">
        <v>1524</v>
      </c>
      <c r="E140" s="68" t="s">
        <v>220</v>
      </c>
      <c r="F140" s="322">
        <f>'ELE. 11'!D42</f>
        <v>3</v>
      </c>
      <c r="G140" s="350">
        <v>187.35</v>
      </c>
      <c r="H140" s="137">
        <f t="shared" si="43"/>
        <v>241.34</v>
      </c>
      <c r="I140" s="138">
        <f t="shared" si="44"/>
        <v>724.02</v>
      </c>
      <c r="K140" s="986"/>
    </row>
    <row r="141" spans="1:13" s="166" customFormat="1" ht="38.25" outlineLevel="1" x14ac:dyDescent="0.2">
      <c r="A141" s="108" t="s">
        <v>1303</v>
      </c>
      <c r="B141" s="108" t="s">
        <v>282</v>
      </c>
      <c r="C141" s="68">
        <v>92998</v>
      </c>
      <c r="D141" s="1392" t="s">
        <v>1525</v>
      </c>
      <c r="E141" s="68" t="s">
        <v>214</v>
      </c>
      <c r="F141" s="322">
        <f>'ELE. 11'!D46</f>
        <v>100</v>
      </c>
      <c r="G141" s="350">
        <v>202.28</v>
      </c>
      <c r="H141" s="137">
        <f t="shared" si="43"/>
        <v>260.58</v>
      </c>
      <c r="I141" s="138">
        <f t="shared" si="44"/>
        <v>26058</v>
      </c>
      <c r="K141" s="986"/>
    </row>
    <row r="142" spans="1:13" s="166" customFormat="1" ht="39" outlineLevel="1" thickBot="1" x14ac:dyDescent="0.25">
      <c r="A142" s="108" t="s">
        <v>1304</v>
      </c>
      <c r="B142" s="108" t="s">
        <v>282</v>
      </c>
      <c r="C142" s="68">
        <v>92992</v>
      </c>
      <c r="D142" s="1392" t="s">
        <v>1526</v>
      </c>
      <c r="E142" s="68" t="s">
        <v>214</v>
      </c>
      <c r="F142" s="322">
        <f>'ELE. 11'!D50</f>
        <v>25</v>
      </c>
      <c r="G142" s="350">
        <v>103.12</v>
      </c>
      <c r="H142" s="137">
        <f t="shared" si="43"/>
        <v>132.84</v>
      </c>
      <c r="I142" s="138">
        <f t="shared" si="44"/>
        <v>3321</v>
      </c>
      <c r="K142" s="986"/>
    </row>
    <row r="143" spans="1:13" s="166" customFormat="1" ht="13.5" outlineLevel="1" thickBot="1" x14ac:dyDescent="0.25">
      <c r="A143" s="1273" t="s">
        <v>1219</v>
      </c>
      <c r="B143" s="1521"/>
      <c r="C143" s="1521"/>
      <c r="D143" s="1522" t="s">
        <v>1527</v>
      </c>
      <c r="E143" s="1523"/>
      <c r="F143" s="1523"/>
      <c r="G143" s="1523"/>
      <c r="H143" s="1523"/>
      <c r="I143" s="1524"/>
      <c r="J143" s="1525"/>
      <c r="K143" s="986"/>
    </row>
    <row r="144" spans="1:13" s="166" customFormat="1" outlineLevel="1" x14ac:dyDescent="0.2">
      <c r="A144" s="108" t="s">
        <v>1220</v>
      </c>
      <c r="B144" s="1831" t="str">
        <f>COMPOSIÇÕES!A121</f>
        <v>COMPOSIÇÃO 10</v>
      </c>
      <c r="C144" s="1832"/>
      <c r="D144" s="1546" t="str">
        <f>COMPOSIÇÕES!C120</f>
        <v>ELETROCALHA 150x100x3000MM. FORNECIMENTO E INSTALAÇÃO.</v>
      </c>
      <c r="E144" s="1547" t="s">
        <v>214</v>
      </c>
      <c r="F144" s="322">
        <f>'ELE. 11'!D55</f>
        <v>55</v>
      </c>
      <c r="G144" s="350">
        <f>COMPOSIÇÕES!M126</f>
        <v>91.54</v>
      </c>
      <c r="H144" s="137">
        <f t="shared" ref="H144:H164" si="45">ROUND((G144*$K$11),2)</f>
        <v>117.92</v>
      </c>
      <c r="I144" s="138">
        <f t="shared" ref="I144:I164" si="46">ROUND(((F144*H144)),2)</f>
        <v>6485.6</v>
      </c>
      <c r="K144" s="986"/>
    </row>
    <row r="145" spans="1:13" s="166" customFormat="1" ht="25.5" outlineLevel="1" x14ac:dyDescent="0.2">
      <c r="A145" s="108" t="s">
        <v>1221</v>
      </c>
      <c r="B145" s="1820" t="str">
        <f>COMPOSIÇÕES!A130</f>
        <v>COMPOSIÇÃO 11</v>
      </c>
      <c r="C145" s="1821"/>
      <c r="D145" s="1546" t="str">
        <f>COMPOSIÇÕES!C129</f>
        <v>TAMPA DE ENCAIXE PARA ELETROCALHA 150X100X3000MM. FORNECIMENTO E INSTALAÇÃO.</v>
      </c>
      <c r="E145" s="1547" t="s">
        <v>214</v>
      </c>
      <c r="F145" s="322">
        <f>'ELE. 11'!D59</f>
        <v>55</v>
      </c>
      <c r="G145" s="350">
        <f>COMPOSIÇÕES!M135</f>
        <v>46.35</v>
      </c>
      <c r="H145" s="137">
        <f t="shared" si="45"/>
        <v>59.71</v>
      </c>
      <c r="I145" s="138">
        <f t="shared" si="46"/>
        <v>3284.05</v>
      </c>
      <c r="K145" s="1531"/>
    </row>
    <row r="146" spans="1:13" s="166" customFormat="1" outlineLevel="1" x14ac:dyDescent="0.2">
      <c r="A146" s="108" t="s">
        <v>1222</v>
      </c>
      <c r="B146" s="1820" t="str">
        <f>COMPOSIÇÕES!A139</f>
        <v>COMPOSIÇÃO 12</v>
      </c>
      <c r="C146" s="1821"/>
      <c r="D146" s="1546" t="s">
        <v>1528</v>
      </c>
      <c r="E146" s="1547" t="s">
        <v>220</v>
      </c>
      <c r="F146" s="322">
        <f>'ELE. 11'!D63</f>
        <v>1</v>
      </c>
      <c r="G146" s="350">
        <f>COMPOSIÇÕES!M144</f>
        <v>114.33</v>
      </c>
      <c r="H146" s="137">
        <f t="shared" si="45"/>
        <v>147.28</v>
      </c>
      <c r="I146" s="138">
        <f t="shared" si="46"/>
        <v>147.28</v>
      </c>
      <c r="K146" s="986"/>
    </row>
    <row r="147" spans="1:13" s="166" customFormat="1" ht="25.5" outlineLevel="1" x14ac:dyDescent="0.2">
      <c r="A147" s="108" t="s">
        <v>1223</v>
      </c>
      <c r="B147" s="1820" t="str">
        <f>COMPOSIÇÕES!A148</f>
        <v>COMPOSIÇÃO 13</v>
      </c>
      <c r="C147" s="1821"/>
      <c r="D147" s="1546" t="str">
        <f>COMPOSIÇÕES!C147</f>
        <v>TALA DE EMENDA PARA ELETROCALHA 150X100MM. FORNECIMENTO E INSTALAÇÃO.</v>
      </c>
      <c r="E147" s="1547" t="s">
        <v>220</v>
      </c>
      <c r="F147" s="322">
        <f>'ELE. 11'!D67</f>
        <v>72</v>
      </c>
      <c r="G147" s="350">
        <f>COMPOSIÇÕES!M153</f>
        <v>20.82</v>
      </c>
      <c r="H147" s="137">
        <f t="shared" si="45"/>
        <v>26.82</v>
      </c>
      <c r="I147" s="138">
        <f t="shared" si="46"/>
        <v>1931.04</v>
      </c>
      <c r="K147" s="986"/>
    </row>
    <row r="148" spans="1:13" s="166" customFormat="1" ht="25.5" outlineLevel="1" x14ac:dyDescent="0.2">
      <c r="A148" s="108" t="s">
        <v>1224</v>
      </c>
      <c r="B148" s="1820" t="str">
        <f>COMPOSIÇÕES!A157</f>
        <v>COMPOSIÇÃO 14</v>
      </c>
      <c r="C148" s="1821"/>
      <c r="D148" s="1546" t="str">
        <f>COMPOSIÇÕES!C156</f>
        <v>CURVA PARA ELETROCALHA 150X100MM. FORNECIMENTO E INSTALAÇÃO.</v>
      </c>
      <c r="E148" s="1547" t="s">
        <v>220</v>
      </c>
      <c r="F148" s="322">
        <f>'ELE. 11'!D71</f>
        <v>1</v>
      </c>
      <c r="G148" s="350">
        <f>COMPOSIÇÕES!M162</f>
        <v>68.84</v>
      </c>
      <c r="H148" s="137">
        <f t="shared" si="45"/>
        <v>88.68</v>
      </c>
      <c r="I148" s="138">
        <f t="shared" si="46"/>
        <v>88.68</v>
      </c>
      <c r="K148" s="986"/>
    </row>
    <row r="149" spans="1:13" s="166" customFormat="1" ht="25.5" outlineLevel="1" x14ac:dyDescent="0.2">
      <c r="A149" s="108" t="s">
        <v>1225</v>
      </c>
      <c r="B149" s="1820" t="str">
        <f>COMPOSIÇÕES!A166</f>
        <v>COMPOSIÇÃO 15</v>
      </c>
      <c r="C149" s="1821"/>
      <c r="D149" s="1546" t="str">
        <f>COMPOSIÇÕES!C165</f>
        <v>CURVA DE INVERSÃO PARA ELETROCALHA 150X100MM. FORNECIMENTO E INSTALAÇÃO.</v>
      </c>
      <c r="E149" s="1547" t="s">
        <v>220</v>
      </c>
      <c r="F149" s="322">
        <f>'ELE. 11'!D75</f>
        <v>1</v>
      </c>
      <c r="G149" s="350">
        <f>COMPOSIÇÕES!M171</f>
        <v>49.05</v>
      </c>
      <c r="H149" s="137">
        <f t="shared" si="45"/>
        <v>63.19</v>
      </c>
      <c r="I149" s="138">
        <f t="shared" si="46"/>
        <v>63.19</v>
      </c>
      <c r="K149" s="1531"/>
    </row>
    <row r="150" spans="1:13" s="166" customFormat="1" ht="25.5" outlineLevel="1" x14ac:dyDescent="0.2">
      <c r="A150" s="108" t="s">
        <v>1226</v>
      </c>
      <c r="B150" s="1820" t="str">
        <f>COMPOSIÇÕES!A175</f>
        <v>COMPOSIÇÃO 16</v>
      </c>
      <c r="C150" s="1821"/>
      <c r="D150" s="1546" t="str">
        <f>COMPOSIÇÕES!C174</f>
        <v>FLANGE DE ACOPLAMENTO EM PAINEL PARA 150X100MM. FORNECIMENTO E INSTALAÇÃO.</v>
      </c>
      <c r="E150" s="1547" t="s">
        <v>220</v>
      </c>
      <c r="F150" s="322">
        <f>'ELE. 11'!D79</f>
        <v>1</v>
      </c>
      <c r="G150" s="350">
        <f>COMPOSIÇÕES!M180</f>
        <v>21.93</v>
      </c>
      <c r="H150" s="137">
        <f t="shared" si="45"/>
        <v>28.25</v>
      </c>
      <c r="I150" s="138">
        <f t="shared" si="46"/>
        <v>28.25</v>
      </c>
      <c r="K150" s="1531"/>
      <c r="M150" s="1108"/>
    </row>
    <row r="151" spans="1:13" s="166" customFormat="1" ht="25.5" outlineLevel="1" x14ac:dyDescent="0.2">
      <c r="A151" s="108" t="s">
        <v>1227</v>
      </c>
      <c r="B151" s="1820" t="str">
        <f>COMPOSIÇÕES!A184</f>
        <v>COMPOSIÇÃO 17</v>
      </c>
      <c r="C151" s="1821"/>
      <c r="D151" s="1546" t="str">
        <f>COMPOSIÇÕES!C183</f>
        <v>TERMINAL PARA ELETROCALHA 150X100MM. FORNECIMENTO E INSTALAÇÃO.</v>
      </c>
      <c r="E151" s="1547" t="s">
        <v>220</v>
      </c>
      <c r="F151" s="322">
        <f>'ELE. 11'!D83</f>
        <v>2</v>
      </c>
      <c r="G151" s="350">
        <f>COMPOSIÇÕES!M189</f>
        <v>14.71</v>
      </c>
      <c r="H151" s="137">
        <f t="shared" si="45"/>
        <v>18.95</v>
      </c>
      <c r="I151" s="138">
        <f t="shared" si="46"/>
        <v>37.9</v>
      </c>
      <c r="K151" s="1531"/>
    </row>
    <row r="152" spans="1:13" s="166" customFormat="1" ht="25.5" outlineLevel="1" x14ac:dyDescent="0.2">
      <c r="A152" s="108" t="s">
        <v>1228</v>
      </c>
      <c r="B152" s="1820" t="str">
        <f>COMPOSIÇÕES!A193</f>
        <v>COMPOSIÇÃO 18</v>
      </c>
      <c r="C152" s="1821"/>
      <c r="D152" s="1500" t="str">
        <f>COMPOSIÇÕES!C192</f>
        <v>SAIDA HORIZONTAL PARA ELETROCALHA 1 1/4". FORNECIMENTO E INSTALAÇÃO</v>
      </c>
      <c r="E152" s="1547" t="s">
        <v>220</v>
      </c>
      <c r="F152" s="322">
        <f>'ELE. 11'!D87</f>
        <v>2</v>
      </c>
      <c r="G152" s="350">
        <f>COMPOSIÇÕES!M198</f>
        <v>8.61</v>
      </c>
      <c r="H152" s="137">
        <f t="shared" si="45"/>
        <v>11.09</v>
      </c>
      <c r="I152" s="138">
        <f t="shared" si="46"/>
        <v>22.18</v>
      </c>
      <c r="K152" s="1531"/>
    </row>
    <row r="153" spans="1:13" s="166" customFormat="1" ht="51" outlineLevel="1" x14ac:dyDescent="0.2">
      <c r="A153" s="108" t="s">
        <v>1229</v>
      </c>
      <c r="B153" s="108" t="s">
        <v>282</v>
      </c>
      <c r="C153" s="68">
        <v>91170</v>
      </c>
      <c r="D153" s="1392" t="s">
        <v>1529</v>
      </c>
      <c r="E153" s="68" t="s">
        <v>214</v>
      </c>
      <c r="F153" s="322">
        <f>'ELE. 11'!D91</f>
        <v>70</v>
      </c>
      <c r="G153" s="350">
        <v>2.52</v>
      </c>
      <c r="H153" s="137">
        <f t="shared" si="45"/>
        <v>3.25</v>
      </c>
      <c r="I153" s="138">
        <f t="shared" si="46"/>
        <v>227.5</v>
      </c>
      <c r="K153" s="986"/>
    </row>
    <row r="154" spans="1:13" s="166" customFormat="1" ht="38.25" outlineLevel="1" x14ac:dyDescent="0.2">
      <c r="A154" s="108" t="s">
        <v>1230</v>
      </c>
      <c r="B154" s="108" t="s">
        <v>282</v>
      </c>
      <c r="C154" s="68">
        <v>93011</v>
      </c>
      <c r="D154" s="1392" t="s">
        <v>1530</v>
      </c>
      <c r="E154" s="68" t="s">
        <v>214</v>
      </c>
      <c r="F154" s="322">
        <f>'ELE. 11'!D95</f>
        <v>10</v>
      </c>
      <c r="G154" s="350">
        <v>46.41</v>
      </c>
      <c r="H154" s="137">
        <f t="shared" si="45"/>
        <v>59.79</v>
      </c>
      <c r="I154" s="138">
        <f t="shared" si="46"/>
        <v>597.9</v>
      </c>
      <c r="K154" s="986"/>
    </row>
    <row r="155" spans="1:13" s="166" customFormat="1" ht="38.25" outlineLevel="1" x14ac:dyDescent="0.2">
      <c r="A155" s="108" t="s">
        <v>1231</v>
      </c>
      <c r="B155" s="108" t="s">
        <v>282</v>
      </c>
      <c r="C155" s="68">
        <v>91865</v>
      </c>
      <c r="D155" s="1392" t="s">
        <v>1531</v>
      </c>
      <c r="E155" s="68" t="s">
        <v>214</v>
      </c>
      <c r="F155" s="322">
        <f>'ELE. 11'!D99</f>
        <v>20</v>
      </c>
      <c r="G155" s="350">
        <v>18.93</v>
      </c>
      <c r="H155" s="137">
        <f t="shared" si="45"/>
        <v>24.39</v>
      </c>
      <c r="I155" s="138">
        <f t="shared" si="46"/>
        <v>487.8</v>
      </c>
      <c r="K155" s="986"/>
    </row>
    <row r="156" spans="1:13" s="166" customFormat="1" ht="38.25" outlineLevel="1" x14ac:dyDescent="0.2">
      <c r="A156" s="108" t="s">
        <v>1232</v>
      </c>
      <c r="B156" s="108" t="s">
        <v>282</v>
      </c>
      <c r="C156" s="68">
        <v>91920</v>
      </c>
      <c r="D156" s="1392" t="s">
        <v>1532</v>
      </c>
      <c r="E156" s="68" t="s">
        <v>220</v>
      </c>
      <c r="F156" s="322">
        <f>'ELE. 11'!D103</f>
        <v>2</v>
      </c>
      <c r="G156" s="350">
        <v>18.04</v>
      </c>
      <c r="H156" s="137">
        <f t="shared" si="45"/>
        <v>23.24</v>
      </c>
      <c r="I156" s="138">
        <f t="shared" si="46"/>
        <v>46.48</v>
      </c>
      <c r="K156" s="986"/>
    </row>
    <row r="157" spans="1:13" s="166" customFormat="1" ht="38.25" outlineLevel="1" x14ac:dyDescent="0.2">
      <c r="A157" s="108" t="s">
        <v>1233</v>
      </c>
      <c r="B157" s="108" t="s">
        <v>282</v>
      </c>
      <c r="C157" s="68">
        <v>93016</v>
      </c>
      <c r="D157" s="1392" t="s">
        <v>1533</v>
      </c>
      <c r="E157" s="68" t="s">
        <v>220</v>
      </c>
      <c r="F157" s="322">
        <f>'ELE. 11'!D107</f>
        <v>3</v>
      </c>
      <c r="G157" s="350">
        <v>32.369999999999997</v>
      </c>
      <c r="H157" s="137">
        <f t="shared" si="45"/>
        <v>41.7</v>
      </c>
      <c r="I157" s="138">
        <f t="shared" si="46"/>
        <v>125.1</v>
      </c>
      <c r="K157" s="986"/>
    </row>
    <row r="158" spans="1:13" s="166" customFormat="1" ht="38.25" outlineLevel="1" x14ac:dyDescent="0.2">
      <c r="A158" s="108" t="s">
        <v>1234</v>
      </c>
      <c r="B158" s="108" t="s">
        <v>282</v>
      </c>
      <c r="C158" s="68">
        <v>91877</v>
      </c>
      <c r="D158" s="1392" t="s">
        <v>1534</v>
      </c>
      <c r="E158" s="68" t="s">
        <v>220</v>
      </c>
      <c r="F158" s="322">
        <f>'ELE. 11'!D111</f>
        <v>4</v>
      </c>
      <c r="G158" s="350">
        <v>10.09</v>
      </c>
      <c r="H158" s="137">
        <f t="shared" si="45"/>
        <v>13</v>
      </c>
      <c r="I158" s="138">
        <f t="shared" si="46"/>
        <v>52</v>
      </c>
      <c r="K158" s="986"/>
    </row>
    <row r="159" spans="1:13" s="166" customFormat="1" outlineLevel="1" x14ac:dyDescent="0.2">
      <c r="A159" s="108" t="s">
        <v>1235</v>
      </c>
      <c r="B159" s="108" t="s">
        <v>621</v>
      </c>
      <c r="C159" s="68">
        <v>171456</v>
      </c>
      <c r="D159" s="1392" t="s">
        <v>1535</v>
      </c>
      <c r="E159" s="68" t="s">
        <v>220</v>
      </c>
      <c r="F159" s="322">
        <f>'ELE. 11'!D115</f>
        <v>2</v>
      </c>
      <c r="G159" s="350">
        <v>14.57</v>
      </c>
      <c r="H159" s="137">
        <f t="shared" si="45"/>
        <v>18.77</v>
      </c>
      <c r="I159" s="138">
        <f t="shared" si="46"/>
        <v>37.54</v>
      </c>
      <c r="K159" s="986"/>
    </row>
    <row r="160" spans="1:13" s="166" customFormat="1" outlineLevel="1" x14ac:dyDescent="0.2">
      <c r="A160" s="108" t="s">
        <v>1236</v>
      </c>
      <c r="B160" s="108" t="s">
        <v>621</v>
      </c>
      <c r="C160" s="68">
        <v>171305</v>
      </c>
      <c r="D160" s="1392" t="s">
        <v>1536</v>
      </c>
      <c r="E160" s="68" t="s">
        <v>220</v>
      </c>
      <c r="F160" s="322">
        <f>'ELE. 11'!D119</f>
        <v>4</v>
      </c>
      <c r="G160" s="350">
        <v>3.75</v>
      </c>
      <c r="H160" s="137">
        <f t="shared" si="45"/>
        <v>4.83</v>
      </c>
      <c r="I160" s="138">
        <f t="shared" si="46"/>
        <v>19.32</v>
      </c>
      <c r="K160" s="986"/>
    </row>
    <row r="161" spans="1:11" s="166" customFormat="1" ht="38.25" outlineLevel="1" x14ac:dyDescent="0.2">
      <c r="A161" s="108" t="s">
        <v>1237</v>
      </c>
      <c r="B161" s="108" t="s">
        <v>282</v>
      </c>
      <c r="C161" s="68">
        <v>92990</v>
      </c>
      <c r="D161" s="1392" t="s">
        <v>1537</v>
      </c>
      <c r="E161" s="68" t="s">
        <v>214</v>
      </c>
      <c r="F161" s="322">
        <f>'ELE. 11'!D123</f>
        <v>30</v>
      </c>
      <c r="G161" s="350">
        <v>77.95</v>
      </c>
      <c r="H161" s="137">
        <f t="shared" si="45"/>
        <v>100.42</v>
      </c>
      <c r="I161" s="138">
        <f t="shared" si="46"/>
        <v>3012.6</v>
      </c>
      <c r="K161" s="986"/>
    </row>
    <row r="162" spans="1:11" s="166" customFormat="1" ht="38.25" outlineLevel="1" x14ac:dyDescent="0.2">
      <c r="A162" s="108" t="s">
        <v>1238</v>
      </c>
      <c r="B162" s="108" t="s">
        <v>282</v>
      </c>
      <c r="C162" s="68">
        <v>92986</v>
      </c>
      <c r="D162" s="1392" t="s">
        <v>1538</v>
      </c>
      <c r="E162" s="68" t="s">
        <v>214</v>
      </c>
      <c r="F162" s="322">
        <f>'ELE. 11'!D127</f>
        <v>10</v>
      </c>
      <c r="G162" s="350">
        <v>40.22</v>
      </c>
      <c r="H162" s="137">
        <f t="shared" si="45"/>
        <v>51.81</v>
      </c>
      <c r="I162" s="138">
        <f t="shared" si="46"/>
        <v>518.1</v>
      </c>
      <c r="K162" s="986"/>
    </row>
    <row r="163" spans="1:11" s="166" customFormat="1" ht="25.5" outlineLevel="1" x14ac:dyDescent="0.2">
      <c r="A163" s="108" t="s">
        <v>1239</v>
      </c>
      <c r="B163" s="108" t="s">
        <v>282</v>
      </c>
      <c r="C163" s="68">
        <v>92982</v>
      </c>
      <c r="D163" s="1392" t="s">
        <v>709</v>
      </c>
      <c r="E163" s="68" t="s">
        <v>214</v>
      </c>
      <c r="F163" s="322">
        <f>'ELE. 11'!D131</f>
        <v>700</v>
      </c>
      <c r="G163" s="350">
        <v>18.59</v>
      </c>
      <c r="H163" s="137">
        <f t="shared" si="45"/>
        <v>23.95</v>
      </c>
      <c r="I163" s="138">
        <f t="shared" si="46"/>
        <v>16765</v>
      </c>
      <c r="K163" s="986"/>
    </row>
    <row r="164" spans="1:11" s="166" customFormat="1" ht="26.25" outlineLevel="1" thickBot="1" x14ac:dyDescent="0.25">
      <c r="A164" s="108" t="s">
        <v>1240</v>
      </c>
      <c r="B164" s="108" t="s">
        <v>282</v>
      </c>
      <c r="C164" s="68">
        <v>92980</v>
      </c>
      <c r="D164" s="1392" t="s">
        <v>708</v>
      </c>
      <c r="E164" s="68" t="s">
        <v>214</v>
      </c>
      <c r="F164" s="322">
        <f>'ELE. 11'!D135</f>
        <v>700</v>
      </c>
      <c r="G164" s="350">
        <v>12.14</v>
      </c>
      <c r="H164" s="137">
        <f t="shared" si="45"/>
        <v>15.64</v>
      </c>
      <c r="I164" s="138">
        <f t="shared" si="46"/>
        <v>10948</v>
      </c>
      <c r="K164" s="986"/>
    </row>
    <row r="165" spans="1:11" s="166" customFormat="1" ht="13.5" outlineLevel="1" thickBot="1" x14ac:dyDescent="0.25">
      <c r="A165" s="1273" t="s">
        <v>1464</v>
      </c>
      <c r="B165" s="1521"/>
      <c r="C165" s="1521"/>
      <c r="D165" s="1522" t="s">
        <v>1539</v>
      </c>
      <c r="E165" s="1523"/>
      <c r="F165" s="1523"/>
      <c r="G165" s="1523"/>
      <c r="H165" s="1523"/>
      <c r="I165" s="1524"/>
      <c r="J165" s="1525"/>
      <c r="K165" s="986"/>
    </row>
    <row r="166" spans="1:11" s="166" customFormat="1" ht="25.5" outlineLevel="1" x14ac:dyDescent="0.2">
      <c r="A166" s="108" t="s">
        <v>1465</v>
      </c>
      <c r="B166" s="1862" t="str">
        <f>COMPOSIÇÕES!A202</f>
        <v>COMPOSIÇÃO 19</v>
      </c>
      <c r="C166" s="1863"/>
      <c r="D166" s="1546" t="str">
        <f>COMPOSIÇÕES!C201</f>
        <v>QUADRO DE COMANDO 1200X800X300MM IP55. FORNECIMENTO E INSTALAÇÃO.</v>
      </c>
      <c r="E166" s="1547" t="s">
        <v>220</v>
      </c>
      <c r="F166" s="322">
        <f>'ELE. 11'!D140</f>
        <v>4</v>
      </c>
      <c r="G166" s="350">
        <f>COMPOSIÇÕES!M208</f>
        <v>2289.38</v>
      </c>
      <c r="H166" s="137">
        <f t="shared" ref="H166:H172" si="47">ROUND((G166*$K$11),2)</f>
        <v>2949.18</v>
      </c>
      <c r="I166" s="138">
        <f t="shared" ref="I166:I172" si="48">ROUND(((F166*H166)),2)</f>
        <v>11796.72</v>
      </c>
      <c r="K166" s="986"/>
    </row>
    <row r="167" spans="1:11" s="166" customFormat="1" ht="25.5" outlineLevel="1" x14ac:dyDescent="0.2">
      <c r="A167" s="108" t="s">
        <v>1466</v>
      </c>
      <c r="B167" s="1820" t="str">
        <f>COMPOSIÇÕES!A212</f>
        <v>COMPOSIÇÃO 20</v>
      </c>
      <c r="C167" s="1821"/>
      <c r="D167" s="1546" t="str">
        <f>COMPOSIÇÕES!C211</f>
        <v>KIT BARRAMENTO TRIFÁSICO PARA 400A. FORNECIMENTO E INSTALAÇÃO.</v>
      </c>
      <c r="E167" s="1547" t="s">
        <v>220</v>
      </c>
      <c r="F167" s="322">
        <f>'ELE. 11'!D144</f>
        <v>12</v>
      </c>
      <c r="G167" s="350">
        <f>COMPOSIÇÕES!M217</f>
        <v>686.12</v>
      </c>
      <c r="H167" s="137">
        <f t="shared" si="47"/>
        <v>883.86</v>
      </c>
      <c r="I167" s="138">
        <f t="shared" si="48"/>
        <v>10606.32</v>
      </c>
      <c r="K167" s="986"/>
    </row>
    <row r="168" spans="1:11" s="166" customFormat="1" ht="38.25" outlineLevel="1" x14ac:dyDescent="0.2">
      <c r="A168" s="108" t="s">
        <v>1467</v>
      </c>
      <c r="B168" s="1820" t="str">
        <f>COMPOSIÇÕES!A221</f>
        <v>COMPOSIÇÃO 21</v>
      </c>
      <c r="C168" s="1821"/>
      <c r="D168" s="1546" t="s">
        <v>1540</v>
      </c>
      <c r="E168" s="1547" t="s">
        <v>220</v>
      </c>
      <c r="F168" s="322">
        <f>'ELE. 11'!D148</f>
        <v>4</v>
      </c>
      <c r="G168" s="350">
        <f>COMPOSIÇÕES!M226</f>
        <v>205.72</v>
      </c>
      <c r="H168" s="137">
        <f t="shared" si="47"/>
        <v>265.01</v>
      </c>
      <c r="I168" s="138">
        <f t="shared" si="48"/>
        <v>1060.04</v>
      </c>
      <c r="K168" s="986"/>
    </row>
    <row r="169" spans="1:11" s="166" customFormat="1" ht="25.5" outlineLevel="1" x14ac:dyDescent="0.2">
      <c r="A169" s="108" t="s">
        <v>1468</v>
      </c>
      <c r="B169" s="108" t="s">
        <v>282</v>
      </c>
      <c r="C169" s="68">
        <v>101898</v>
      </c>
      <c r="D169" s="1392" t="s">
        <v>1541</v>
      </c>
      <c r="E169" s="68" t="s">
        <v>220</v>
      </c>
      <c r="F169" s="322">
        <f>'ELE. 11'!D152</f>
        <v>1</v>
      </c>
      <c r="G169" s="350">
        <v>1337.88</v>
      </c>
      <c r="H169" s="137">
        <f t="shared" si="47"/>
        <v>1723.46</v>
      </c>
      <c r="I169" s="138">
        <f t="shared" si="48"/>
        <v>1723.46</v>
      </c>
      <c r="K169" s="986"/>
    </row>
    <row r="170" spans="1:11" s="166" customFormat="1" ht="25.5" outlineLevel="1" x14ac:dyDescent="0.2">
      <c r="A170" s="108" t="s">
        <v>1469</v>
      </c>
      <c r="B170" s="108" t="s">
        <v>282</v>
      </c>
      <c r="C170" s="68">
        <v>101895</v>
      </c>
      <c r="D170" s="1392" t="s">
        <v>707</v>
      </c>
      <c r="E170" s="68" t="s">
        <v>220</v>
      </c>
      <c r="F170" s="322">
        <f>'ELE. 11'!D157</f>
        <v>1</v>
      </c>
      <c r="G170" s="350">
        <v>408.64</v>
      </c>
      <c r="H170" s="137">
        <f t="shared" si="47"/>
        <v>526.41</v>
      </c>
      <c r="I170" s="138">
        <f t="shared" si="48"/>
        <v>526.41</v>
      </c>
      <c r="K170" s="986"/>
    </row>
    <row r="171" spans="1:11" s="166" customFormat="1" outlineLevel="1" x14ac:dyDescent="0.2">
      <c r="A171" s="108" t="s">
        <v>1470</v>
      </c>
      <c r="B171" s="108" t="s">
        <v>621</v>
      </c>
      <c r="C171" s="68">
        <v>170393</v>
      </c>
      <c r="D171" s="1407" t="s">
        <v>954</v>
      </c>
      <c r="E171" s="68" t="s">
        <v>220</v>
      </c>
      <c r="F171" s="322">
        <f>'ELE. 11'!D161</f>
        <v>4</v>
      </c>
      <c r="G171" s="162">
        <v>228.81</v>
      </c>
      <c r="H171" s="137">
        <f t="shared" si="47"/>
        <v>294.75</v>
      </c>
      <c r="I171" s="138">
        <f t="shared" si="48"/>
        <v>1179</v>
      </c>
      <c r="K171" s="986"/>
    </row>
    <row r="172" spans="1:11" s="166" customFormat="1" ht="26.25" outlineLevel="1" thickBot="1" x14ac:dyDescent="0.25">
      <c r="A172" s="108" t="s">
        <v>1471</v>
      </c>
      <c r="B172" s="108" t="s">
        <v>282</v>
      </c>
      <c r="C172" s="108">
        <v>93657</v>
      </c>
      <c r="D172" s="1407" t="s">
        <v>1542</v>
      </c>
      <c r="E172" s="68" t="s">
        <v>220</v>
      </c>
      <c r="F172" s="322">
        <f>'ELE. 11'!D165</f>
        <v>4</v>
      </c>
      <c r="G172" s="162">
        <v>13.82</v>
      </c>
      <c r="H172" s="137">
        <f t="shared" si="47"/>
        <v>17.8</v>
      </c>
      <c r="I172" s="138">
        <f t="shared" si="48"/>
        <v>71.2</v>
      </c>
      <c r="K172" s="986"/>
    </row>
    <row r="173" spans="1:11" s="166" customFormat="1" ht="13.5" outlineLevel="1" thickBot="1" x14ac:dyDescent="0.25">
      <c r="A173" s="1273" t="s">
        <v>906</v>
      </c>
      <c r="B173" s="1521"/>
      <c r="C173" s="1521"/>
      <c r="D173" s="1522" t="s">
        <v>1543</v>
      </c>
      <c r="E173" s="1523"/>
      <c r="F173" s="1523"/>
      <c r="G173" s="1523"/>
      <c r="H173" s="1523"/>
      <c r="I173" s="1524"/>
      <c r="J173" s="1525"/>
      <c r="K173" s="986"/>
    </row>
    <row r="174" spans="1:11" s="166" customFormat="1" ht="38.25" outlineLevel="1" x14ac:dyDescent="0.2">
      <c r="A174" s="108" t="s">
        <v>907</v>
      </c>
      <c r="B174" s="108" t="s">
        <v>282</v>
      </c>
      <c r="C174" s="68">
        <v>101879</v>
      </c>
      <c r="D174" s="1407" t="s">
        <v>1544</v>
      </c>
      <c r="E174" s="68" t="s">
        <v>220</v>
      </c>
      <c r="F174" s="322">
        <f>'ELE. 11'!D170</f>
        <v>1</v>
      </c>
      <c r="G174" s="162">
        <v>608.49</v>
      </c>
      <c r="H174" s="137">
        <f t="shared" ref="H174:H177" si="49">ROUND((G174*$K$11),2)</f>
        <v>783.86</v>
      </c>
      <c r="I174" s="138">
        <f t="shared" ref="I174:I177" si="50">ROUND(((F174*H174)),2)</f>
        <v>783.86</v>
      </c>
      <c r="K174" s="986"/>
    </row>
    <row r="175" spans="1:11" s="166" customFormat="1" outlineLevel="1" x14ac:dyDescent="0.2">
      <c r="A175" s="108" t="s">
        <v>908</v>
      </c>
      <c r="B175" s="108" t="s">
        <v>621</v>
      </c>
      <c r="C175" s="68">
        <v>171034</v>
      </c>
      <c r="D175" s="1392" t="s">
        <v>1545</v>
      </c>
      <c r="E175" s="68" t="s">
        <v>220</v>
      </c>
      <c r="F175" s="322">
        <f>'ELE. 11'!D174</f>
        <v>4</v>
      </c>
      <c r="G175" s="350">
        <v>79.55</v>
      </c>
      <c r="H175" s="137">
        <f t="shared" si="49"/>
        <v>102.48</v>
      </c>
      <c r="I175" s="138">
        <f t="shared" si="50"/>
        <v>409.92</v>
      </c>
      <c r="K175" s="986"/>
    </row>
    <row r="176" spans="1:11" s="166" customFormat="1" outlineLevel="1" x14ac:dyDescent="0.2">
      <c r="A176" s="108" t="s">
        <v>909</v>
      </c>
      <c r="B176" s="108" t="s">
        <v>621</v>
      </c>
      <c r="C176" s="108">
        <v>170393</v>
      </c>
      <c r="D176" s="1407" t="s">
        <v>954</v>
      </c>
      <c r="E176" s="68" t="s">
        <v>220</v>
      </c>
      <c r="F176" s="322">
        <f>'ELE. 11'!D178</f>
        <v>1</v>
      </c>
      <c r="G176" s="162">
        <v>228.81</v>
      </c>
      <c r="H176" s="137">
        <f t="shared" si="49"/>
        <v>294.75</v>
      </c>
      <c r="I176" s="138">
        <f t="shared" si="50"/>
        <v>294.75</v>
      </c>
      <c r="K176" s="986"/>
    </row>
    <row r="177" spans="1:11" s="166" customFormat="1" ht="26.25" outlineLevel="1" thickBot="1" x14ac:dyDescent="0.25">
      <c r="A177" s="108" t="s">
        <v>910</v>
      </c>
      <c r="B177" s="108" t="s">
        <v>282</v>
      </c>
      <c r="C177" s="108">
        <v>93654</v>
      </c>
      <c r="D177" s="1407" t="s">
        <v>702</v>
      </c>
      <c r="E177" s="68" t="s">
        <v>220</v>
      </c>
      <c r="F177" s="322">
        <f>'ELE. 11'!D182</f>
        <v>24</v>
      </c>
      <c r="G177" s="162">
        <v>11.65</v>
      </c>
      <c r="H177" s="137">
        <f t="shared" si="49"/>
        <v>15.01</v>
      </c>
      <c r="I177" s="138">
        <f t="shared" si="50"/>
        <v>360.24</v>
      </c>
      <c r="K177" s="986"/>
    </row>
    <row r="178" spans="1:11" s="166" customFormat="1" ht="13.5" outlineLevel="1" thickBot="1" x14ac:dyDescent="0.25">
      <c r="A178" s="1273" t="s">
        <v>1546</v>
      </c>
      <c r="B178" s="1521"/>
      <c r="C178" s="1521"/>
      <c r="D178" s="1522" t="s">
        <v>1547</v>
      </c>
      <c r="E178" s="1523"/>
      <c r="F178" s="1523"/>
      <c r="G178" s="1523"/>
      <c r="H178" s="1523"/>
      <c r="I178" s="1524"/>
      <c r="J178" s="1525"/>
      <c r="K178" s="986"/>
    </row>
    <row r="179" spans="1:11" s="166" customFormat="1" ht="38.25" outlineLevel="1" x14ac:dyDescent="0.2">
      <c r="A179" s="108" t="s">
        <v>1548</v>
      </c>
      <c r="B179" s="108" t="s">
        <v>282</v>
      </c>
      <c r="C179" s="68">
        <v>101879</v>
      </c>
      <c r="D179" s="1407" t="s">
        <v>1544</v>
      </c>
      <c r="E179" s="68" t="s">
        <v>220</v>
      </c>
      <c r="F179" s="322">
        <f>'ELE. 11'!D187</f>
        <v>1</v>
      </c>
      <c r="G179" s="162">
        <v>608.49</v>
      </c>
      <c r="H179" s="137">
        <f t="shared" ref="H179:H182" si="51">ROUND((G179*$K$11),2)</f>
        <v>783.86</v>
      </c>
      <c r="I179" s="138">
        <f t="shared" ref="I179:I182" si="52">ROUND(((F179*H179)),2)</f>
        <v>783.86</v>
      </c>
      <c r="K179" s="986"/>
    </row>
    <row r="180" spans="1:11" s="166" customFormat="1" outlineLevel="1" x14ac:dyDescent="0.2">
      <c r="A180" s="108" t="s">
        <v>1549</v>
      </c>
      <c r="B180" s="108" t="s">
        <v>621</v>
      </c>
      <c r="C180" s="68">
        <v>171034</v>
      </c>
      <c r="D180" s="1392" t="s">
        <v>1545</v>
      </c>
      <c r="E180" s="68" t="s">
        <v>220</v>
      </c>
      <c r="F180" s="322">
        <f>'ELE. 11'!D191</f>
        <v>4</v>
      </c>
      <c r="G180" s="350">
        <v>79.55</v>
      </c>
      <c r="H180" s="137">
        <f t="shared" si="51"/>
        <v>102.48</v>
      </c>
      <c r="I180" s="138">
        <f t="shared" si="52"/>
        <v>409.92</v>
      </c>
      <c r="K180" s="986"/>
    </row>
    <row r="181" spans="1:11" s="166" customFormat="1" outlineLevel="1" x14ac:dyDescent="0.2">
      <c r="A181" s="108" t="s">
        <v>1550</v>
      </c>
      <c r="B181" s="108" t="s">
        <v>621</v>
      </c>
      <c r="C181" s="108">
        <v>170393</v>
      </c>
      <c r="D181" s="1407" t="s">
        <v>954</v>
      </c>
      <c r="E181" s="68" t="s">
        <v>220</v>
      </c>
      <c r="F181" s="322">
        <f>'ELE. 11'!D195</f>
        <v>1</v>
      </c>
      <c r="G181" s="162">
        <v>228.81</v>
      </c>
      <c r="H181" s="137">
        <f t="shared" si="51"/>
        <v>294.75</v>
      </c>
      <c r="I181" s="138">
        <f t="shared" si="52"/>
        <v>294.75</v>
      </c>
      <c r="K181" s="986"/>
    </row>
    <row r="182" spans="1:11" s="166" customFormat="1" ht="26.25" outlineLevel="1" thickBot="1" x14ac:dyDescent="0.25">
      <c r="A182" s="108" t="s">
        <v>1551</v>
      </c>
      <c r="B182" s="108" t="s">
        <v>282</v>
      </c>
      <c r="C182" s="108">
        <v>93654</v>
      </c>
      <c r="D182" s="1407" t="s">
        <v>702</v>
      </c>
      <c r="E182" s="68" t="s">
        <v>220</v>
      </c>
      <c r="F182" s="322">
        <f>'ELE. 11'!D199</f>
        <v>24</v>
      </c>
      <c r="G182" s="162">
        <v>11.65</v>
      </c>
      <c r="H182" s="137">
        <f t="shared" si="51"/>
        <v>15.01</v>
      </c>
      <c r="I182" s="138">
        <f t="shared" si="52"/>
        <v>360.24</v>
      </c>
      <c r="K182" s="986"/>
    </row>
    <row r="183" spans="1:11" s="166" customFormat="1" ht="13.5" outlineLevel="1" thickBot="1" x14ac:dyDescent="0.25">
      <c r="A183" s="1273" t="s">
        <v>1552</v>
      </c>
      <c r="B183" s="1521"/>
      <c r="C183" s="1521"/>
      <c r="D183" s="1522" t="s">
        <v>1553</v>
      </c>
      <c r="E183" s="1523"/>
      <c r="F183" s="1523"/>
      <c r="G183" s="1523"/>
      <c r="H183" s="1523"/>
      <c r="I183" s="1524"/>
      <c r="J183" s="1525"/>
      <c r="K183" s="986"/>
    </row>
    <row r="184" spans="1:11" s="166" customFormat="1" ht="38.25" outlineLevel="1" x14ac:dyDescent="0.2">
      <c r="A184" s="108" t="s">
        <v>1554</v>
      </c>
      <c r="B184" s="108" t="s">
        <v>282</v>
      </c>
      <c r="C184" s="108">
        <v>101879</v>
      </c>
      <c r="D184" s="1407" t="s">
        <v>1544</v>
      </c>
      <c r="E184" s="68" t="s">
        <v>220</v>
      </c>
      <c r="F184" s="322">
        <f>'ELE. 11'!D204</f>
        <v>1</v>
      </c>
      <c r="G184" s="162">
        <v>608.49</v>
      </c>
      <c r="H184" s="137">
        <f t="shared" ref="H184:H187" si="53">ROUND((G184*$K$11),2)</f>
        <v>783.86</v>
      </c>
      <c r="I184" s="138">
        <f t="shared" ref="I184:I187" si="54">ROUND(((F184*H184)),2)</f>
        <v>783.86</v>
      </c>
      <c r="K184" s="986"/>
    </row>
    <row r="185" spans="1:11" s="166" customFormat="1" outlineLevel="1" x14ac:dyDescent="0.2">
      <c r="A185" s="108" t="s">
        <v>1555</v>
      </c>
      <c r="B185" s="108" t="s">
        <v>621</v>
      </c>
      <c r="C185" s="108">
        <v>171034</v>
      </c>
      <c r="D185" s="1407" t="s">
        <v>1545</v>
      </c>
      <c r="E185" s="68" t="s">
        <v>220</v>
      </c>
      <c r="F185" s="322">
        <f>'ELE. 11'!D208</f>
        <v>4</v>
      </c>
      <c r="G185" s="162">
        <v>79.55</v>
      </c>
      <c r="H185" s="137">
        <f t="shared" si="53"/>
        <v>102.48</v>
      </c>
      <c r="I185" s="138">
        <f t="shared" si="54"/>
        <v>409.92</v>
      </c>
      <c r="K185" s="986"/>
    </row>
    <row r="186" spans="1:11" s="166" customFormat="1" outlineLevel="1" x14ac:dyDescent="0.2">
      <c r="A186" s="108" t="s">
        <v>1556</v>
      </c>
      <c r="B186" s="108" t="s">
        <v>621</v>
      </c>
      <c r="C186" s="108">
        <v>170393</v>
      </c>
      <c r="D186" s="1407" t="s">
        <v>954</v>
      </c>
      <c r="E186" s="68" t="s">
        <v>220</v>
      </c>
      <c r="F186" s="322">
        <f>'ELE. 11'!D212</f>
        <v>1</v>
      </c>
      <c r="G186" s="162">
        <v>228.81</v>
      </c>
      <c r="H186" s="137">
        <f t="shared" si="53"/>
        <v>294.75</v>
      </c>
      <c r="I186" s="138">
        <f t="shared" si="54"/>
        <v>294.75</v>
      </c>
      <c r="K186" s="986"/>
    </row>
    <row r="187" spans="1:11" s="166" customFormat="1" ht="26.25" outlineLevel="1" thickBot="1" x14ac:dyDescent="0.25">
      <c r="A187" s="108" t="s">
        <v>1557</v>
      </c>
      <c r="B187" s="108" t="s">
        <v>282</v>
      </c>
      <c r="C187" s="108">
        <v>93654</v>
      </c>
      <c r="D187" s="1407" t="s">
        <v>702</v>
      </c>
      <c r="E187" s="68" t="s">
        <v>220</v>
      </c>
      <c r="F187" s="322">
        <f>'ELE. 11'!D216</f>
        <v>24</v>
      </c>
      <c r="G187" s="162">
        <v>11.65</v>
      </c>
      <c r="H187" s="137">
        <f t="shared" si="53"/>
        <v>15.01</v>
      </c>
      <c r="I187" s="138">
        <f t="shared" si="54"/>
        <v>360.24</v>
      </c>
      <c r="K187" s="986"/>
    </row>
    <row r="188" spans="1:11" s="166" customFormat="1" ht="13.5" outlineLevel="1" thickBot="1" x14ac:dyDescent="0.25">
      <c r="A188" s="1273" t="s">
        <v>1558</v>
      </c>
      <c r="B188" s="1521"/>
      <c r="C188" s="1521"/>
      <c r="D188" s="1522" t="s">
        <v>1559</v>
      </c>
      <c r="E188" s="1523"/>
      <c r="F188" s="1523"/>
      <c r="G188" s="1523"/>
      <c r="H188" s="1523"/>
      <c r="I188" s="1524"/>
      <c r="J188" s="1525"/>
      <c r="K188" s="986"/>
    </row>
    <row r="189" spans="1:11" s="166" customFormat="1" ht="38.25" outlineLevel="1" x14ac:dyDescent="0.2">
      <c r="A189" s="108" t="s">
        <v>1560</v>
      </c>
      <c r="B189" s="108" t="s">
        <v>282</v>
      </c>
      <c r="C189" s="108">
        <v>101879</v>
      </c>
      <c r="D189" s="1407" t="s">
        <v>1544</v>
      </c>
      <c r="E189" s="68" t="s">
        <v>220</v>
      </c>
      <c r="F189" s="322">
        <f>'ELE. 11'!D221</f>
        <v>1</v>
      </c>
      <c r="G189" s="162">
        <v>608.49</v>
      </c>
      <c r="H189" s="137">
        <f t="shared" ref="H189:H192" si="55">ROUND((G189*$K$11),2)</f>
        <v>783.86</v>
      </c>
      <c r="I189" s="138">
        <f t="shared" ref="I189:I192" si="56">ROUND(((F189*H189)),2)</f>
        <v>783.86</v>
      </c>
      <c r="K189" s="986"/>
    </row>
    <row r="190" spans="1:11" s="166" customFormat="1" outlineLevel="1" x14ac:dyDescent="0.2">
      <c r="A190" s="108" t="s">
        <v>1561</v>
      </c>
      <c r="B190" s="108" t="s">
        <v>621</v>
      </c>
      <c r="C190" s="108">
        <v>171034</v>
      </c>
      <c r="D190" s="1407" t="s">
        <v>1545</v>
      </c>
      <c r="E190" s="68" t="s">
        <v>220</v>
      </c>
      <c r="F190" s="322">
        <f>'ELE. 11'!D225</f>
        <v>4</v>
      </c>
      <c r="G190" s="162">
        <v>79.55</v>
      </c>
      <c r="H190" s="137">
        <f t="shared" si="55"/>
        <v>102.48</v>
      </c>
      <c r="I190" s="138">
        <f t="shared" si="56"/>
        <v>409.92</v>
      </c>
      <c r="K190" s="986"/>
    </row>
    <row r="191" spans="1:11" s="166" customFormat="1" outlineLevel="1" x14ac:dyDescent="0.2">
      <c r="A191" s="108" t="s">
        <v>1562</v>
      </c>
      <c r="B191" s="108" t="s">
        <v>621</v>
      </c>
      <c r="C191" s="108">
        <v>170393</v>
      </c>
      <c r="D191" s="1407" t="s">
        <v>954</v>
      </c>
      <c r="E191" s="68" t="s">
        <v>220</v>
      </c>
      <c r="F191" s="322">
        <f>'ELE. 11'!D229</f>
        <v>1</v>
      </c>
      <c r="G191" s="162">
        <v>228.81</v>
      </c>
      <c r="H191" s="137">
        <f t="shared" si="55"/>
        <v>294.75</v>
      </c>
      <c r="I191" s="138">
        <f t="shared" si="56"/>
        <v>294.75</v>
      </c>
      <c r="K191" s="986"/>
    </row>
    <row r="192" spans="1:11" s="166" customFormat="1" ht="26.25" outlineLevel="1" thickBot="1" x14ac:dyDescent="0.25">
      <c r="A192" s="108" t="s">
        <v>1563</v>
      </c>
      <c r="B192" s="108" t="s">
        <v>282</v>
      </c>
      <c r="C192" s="108">
        <v>93654</v>
      </c>
      <c r="D192" s="1407" t="s">
        <v>702</v>
      </c>
      <c r="E192" s="68" t="s">
        <v>220</v>
      </c>
      <c r="F192" s="322">
        <f>'ELE. 11'!D233</f>
        <v>24</v>
      </c>
      <c r="G192" s="162">
        <v>11.65</v>
      </c>
      <c r="H192" s="137">
        <f t="shared" si="55"/>
        <v>15.01</v>
      </c>
      <c r="I192" s="138">
        <f t="shared" si="56"/>
        <v>360.24</v>
      </c>
      <c r="K192" s="986"/>
    </row>
    <row r="193" spans="1:11" s="166" customFormat="1" ht="13.5" outlineLevel="1" thickBot="1" x14ac:dyDescent="0.25">
      <c r="A193" s="1273" t="s">
        <v>1564</v>
      </c>
      <c r="B193" s="1521"/>
      <c r="C193" s="1521"/>
      <c r="D193" s="1522" t="s">
        <v>1565</v>
      </c>
      <c r="E193" s="1523"/>
      <c r="F193" s="1523"/>
      <c r="G193" s="1523"/>
      <c r="H193" s="1523"/>
      <c r="I193" s="1524"/>
      <c r="J193" s="1241"/>
      <c r="K193" s="986"/>
    </row>
    <row r="194" spans="1:11" s="166" customFormat="1" ht="38.25" outlineLevel="1" x14ac:dyDescent="0.2">
      <c r="A194" s="1516" t="s">
        <v>1566</v>
      </c>
      <c r="B194" s="108" t="s">
        <v>282</v>
      </c>
      <c r="C194" s="108">
        <v>101880</v>
      </c>
      <c r="D194" s="1407" t="s">
        <v>701</v>
      </c>
      <c r="E194" s="68" t="s">
        <v>220</v>
      </c>
      <c r="F194" s="322">
        <f>'ELE. 11'!D238</f>
        <v>1</v>
      </c>
      <c r="G194" s="162">
        <v>700.72</v>
      </c>
      <c r="H194" s="137">
        <f t="shared" ref="H194:H198" si="57">ROUND((G194*$K$11),2)</f>
        <v>902.67</v>
      </c>
      <c r="I194" s="138">
        <f t="shared" ref="I194:I198" si="58">ROUND(((F194*H194)),2)</f>
        <v>902.67</v>
      </c>
      <c r="J194" s="109"/>
      <c r="K194" s="986"/>
    </row>
    <row r="195" spans="1:11" s="166" customFormat="1" outlineLevel="1" x14ac:dyDescent="0.2">
      <c r="A195" s="1518" t="s">
        <v>1567</v>
      </c>
      <c r="B195" s="108" t="s">
        <v>621</v>
      </c>
      <c r="C195" s="108">
        <v>171034</v>
      </c>
      <c r="D195" s="1407" t="s">
        <v>1545</v>
      </c>
      <c r="E195" s="68" t="s">
        <v>220</v>
      </c>
      <c r="F195" s="322">
        <f>'ELE. 11'!D242</f>
        <v>3</v>
      </c>
      <c r="G195" s="162">
        <v>79.55</v>
      </c>
      <c r="H195" s="137">
        <f t="shared" si="57"/>
        <v>102.48</v>
      </c>
      <c r="I195" s="138">
        <f t="shared" si="58"/>
        <v>307.44</v>
      </c>
      <c r="J195" s="109"/>
      <c r="K195" s="986"/>
    </row>
    <row r="196" spans="1:11" s="166" customFormat="1" ht="25.5" outlineLevel="1" x14ac:dyDescent="0.2">
      <c r="A196" s="1518" t="s">
        <v>1568</v>
      </c>
      <c r="B196" s="108" t="s">
        <v>282</v>
      </c>
      <c r="C196" s="108">
        <v>101895</v>
      </c>
      <c r="D196" s="1407" t="s">
        <v>707</v>
      </c>
      <c r="E196" s="68" t="s">
        <v>220</v>
      </c>
      <c r="F196" s="322">
        <f>'ELE. 11'!D246</f>
        <v>1</v>
      </c>
      <c r="G196" s="162">
        <v>408.64</v>
      </c>
      <c r="H196" s="137">
        <f t="shared" si="57"/>
        <v>526.41</v>
      </c>
      <c r="I196" s="138">
        <f t="shared" si="58"/>
        <v>526.41</v>
      </c>
      <c r="J196" s="109"/>
      <c r="K196" s="986"/>
    </row>
    <row r="197" spans="1:11" s="166" customFormat="1" ht="25.5" outlineLevel="1" x14ac:dyDescent="0.2">
      <c r="A197" s="1518" t="s">
        <v>1569</v>
      </c>
      <c r="B197" s="108" t="s">
        <v>282</v>
      </c>
      <c r="C197" s="108">
        <v>93663</v>
      </c>
      <c r="D197" s="1407" t="s">
        <v>706</v>
      </c>
      <c r="E197" s="68" t="s">
        <v>220</v>
      </c>
      <c r="F197" s="322">
        <f>'ELE. 11'!D250</f>
        <v>15</v>
      </c>
      <c r="G197" s="162">
        <v>58.72</v>
      </c>
      <c r="H197" s="137">
        <f t="shared" si="57"/>
        <v>75.64</v>
      </c>
      <c r="I197" s="138">
        <f t="shared" si="58"/>
        <v>1134.5999999999999</v>
      </c>
      <c r="J197" s="109"/>
      <c r="K197" s="986"/>
    </row>
    <row r="198" spans="1:11" s="166" customFormat="1" ht="26.25" outlineLevel="1" thickBot="1" x14ac:dyDescent="0.25">
      <c r="A198" s="1518" t="s">
        <v>1570</v>
      </c>
      <c r="B198" s="108" t="s">
        <v>282</v>
      </c>
      <c r="C198" s="108">
        <v>93662</v>
      </c>
      <c r="D198" s="1407" t="s">
        <v>703</v>
      </c>
      <c r="E198" s="68" t="s">
        <v>220</v>
      </c>
      <c r="F198" s="322">
        <f>'ELE. 11'!D254</f>
        <v>15</v>
      </c>
      <c r="G198" s="162">
        <v>58.72</v>
      </c>
      <c r="H198" s="137">
        <f t="shared" si="57"/>
        <v>75.64</v>
      </c>
      <c r="I198" s="138">
        <f t="shared" si="58"/>
        <v>1134.5999999999999</v>
      </c>
      <c r="J198" s="109"/>
      <c r="K198" s="986"/>
    </row>
    <row r="199" spans="1:11" s="166" customFormat="1" ht="13.5" outlineLevel="1" thickBot="1" x14ac:dyDescent="0.25">
      <c r="A199" s="1273" t="s">
        <v>1571</v>
      </c>
      <c r="B199" s="1521"/>
      <c r="C199" s="1521"/>
      <c r="D199" s="1522" t="s">
        <v>1572</v>
      </c>
      <c r="E199" s="1523"/>
      <c r="F199" s="1523"/>
      <c r="G199" s="1523"/>
      <c r="H199" s="1523"/>
      <c r="I199" s="1524"/>
      <c r="J199" s="1241"/>
      <c r="K199" s="986"/>
    </row>
    <row r="200" spans="1:11" s="166" customFormat="1" outlineLevel="1" x14ac:dyDescent="0.2">
      <c r="A200" s="1516" t="s">
        <v>1573</v>
      </c>
      <c r="B200" s="108" t="s">
        <v>621</v>
      </c>
      <c r="C200" s="108">
        <v>170931</v>
      </c>
      <c r="D200" s="1407" t="s">
        <v>1574</v>
      </c>
      <c r="E200" s="68" t="s">
        <v>220</v>
      </c>
      <c r="F200" s="322">
        <f>'ELE. 11'!D259</f>
        <v>100</v>
      </c>
      <c r="G200" s="162">
        <v>79.56</v>
      </c>
      <c r="H200" s="137">
        <f t="shared" ref="H200:H213" si="59">ROUND((G200*$K$11),2)</f>
        <v>102.49</v>
      </c>
      <c r="I200" s="138">
        <f t="shared" ref="I200:I213" si="60">ROUND(((F200*H200)),2)</f>
        <v>10249</v>
      </c>
      <c r="J200" s="109"/>
      <c r="K200" s="986"/>
    </row>
    <row r="201" spans="1:11" s="166" customFormat="1" ht="25.5" outlineLevel="1" x14ac:dyDescent="0.2">
      <c r="A201" s="1518" t="s">
        <v>1575</v>
      </c>
      <c r="B201" s="1820" t="str">
        <f>COMPOSIÇÕES!A230</f>
        <v>COMPOSIÇÃO 22</v>
      </c>
      <c r="C201" s="1821"/>
      <c r="D201" s="1500" t="str">
        <f>COMPOSIÇÕES!C229</f>
        <v>TAMPA DE ENCAIXE PARA ELETROCALHA 50mm CHAPA 24. FORNECIMENTO E INSTALAÇÃO.</v>
      </c>
      <c r="E201" s="1548" t="s">
        <v>214</v>
      </c>
      <c r="F201" s="322">
        <f>'ELE. 11'!D263</f>
        <v>100</v>
      </c>
      <c r="G201" s="162">
        <f>COMPOSIÇÕES!M235</f>
        <v>37.159999999999997</v>
      </c>
      <c r="H201" s="137">
        <f t="shared" si="59"/>
        <v>47.87</v>
      </c>
      <c r="I201" s="138">
        <f t="shared" si="60"/>
        <v>4787</v>
      </c>
      <c r="J201" s="109"/>
      <c r="K201" s="1531"/>
    </row>
    <row r="202" spans="1:11" s="166" customFormat="1" ht="25.5" outlineLevel="1" x14ac:dyDescent="0.2">
      <c r="A202" s="1518" t="s">
        <v>1576</v>
      </c>
      <c r="B202" s="1820" t="str">
        <f>COMPOSIÇÕES!A239</f>
        <v>COMPOSIÇÃO 23</v>
      </c>
      <c r="C202" s="1821"/>
      <c r="D202" s="948" t="str">
        <f>COMPOSIÇÕES!C238</f>
        <v>ELETROCALHA - TERMINAL DE FECHAMENTO 50x50 CHAPA 20. FORNECIMENTO E INSTALAÇÃO.</v>
      </c>
      <c r="E202" s="1548" t="s">
        <v>220</v>
      </c>
      <c r="F202" s="322">
        <f>'ELE. 11'!D267</f>
        <v>3</v>
      </c>
      <c r="G202" s="162">
        <f>COMPOSIÇÕES!M244</f>
        <v>27.96</v>
      </c>
      <c r="H202" s="137">
        <f t="shared" si="59"/>
        <v>36.020000000000003</v>
      </c>
      <c r="I202" s="138">
        <f t="shared" si="60"/>
        <v>108.06</v>
      </c>
      <c r="J202" s="109"/>
      <c r="K202" s="1531"/>
    </row>
    <row r="203" spans="1:11" s="166" customFormat="1" ht="25.5" outlineLevel="1" x14ac:dyDescent="0.2">
      <c r="A203" s="1518" t="s">
        <v>1577</v>
      </c>
      <c r="B203" s="1820" t="str">
        <f>COMPOSIÇÕES!A248</f>
        <v>COMPOSIÇÃO 24</v>
      </c>
      <c r="C203" s="1821"/>
      <c r="D203" s="948" t="str">
        <f>COMPOSIÇÕES!C247</f>
        <v>EMENDA INTERNA PARA ELETROCALHA 50x50MM. FORNECIMENTO E INSTALAÇÃO.</v>
      </c>
      <c r="E203" s="1548" t="s">
        <v>220</v>
      </c>
      <c r="F203" s="322">
        <f>'ELE. 11'!D271</f>
        <v>84</v>
      </c>
      <c r="G203" s="162">
        <f>COMPOSIÇÕES!M253</f>
        <v>9.3800000000000008</v>
      </c>
      <c r="H203" s="137">
        <f t="shared" si="59"/>
        <v>12.08</v>
      </c>
      <c r="I203" s="138">
        <f t="shared" si="60"/>
        <v>1014.72</v>
      </c>
      <c r="J203" s="109"/>
      <c r="K203" s="986"/>
    </row>
    <row r="204" spans="1:11" s="166" customFormat="1" ht="25.5" outlineLevel="1" x14ac:dyDescent="0.2">
      <c r="A204" s="1518" t="s">
        <v>1578</v>
      </c>
      <c r="B204" s="1820" t="str">
        <f>COMPOSIÇÕES!A257</f>
        <v>COMPOSIÇÃO 25</v>
      </c>
      <c r="C204" s="1821"/>
      <c r="D204" s="1500" t="str">
        <f>COMPOSIÇÕES!C256</f>
        <v>CURVA DE INVERSAO PARA ELETROCALHA 0,50m. FORNECIMENTO E INSTALAÇÃO</v>
      </c>
      <c r="E204" s="1548" t="s">
        <v>220</v>
      </c>
      <c r="F204" s="322">
        <f>'ELE. 11'!D275</f>
        <v>1</v>
      </c>
      <c r="G204" s="162">
        <f>COMPOSIÇÕES!M262</f>
        <v>31.63</v>
      </c>
      <c r="H204" s="137">
        <f t="shared" si="59"/>
        <v>40.75</v>
      </c>
      <c r="I204" s="138">
        <f t="shared" si="60"/>
        <v>40.75</v>
      </c>
      <c r="J204" s="109"/>
      <c r="K204" s="1531"/>
    </row>
    <row r="205" spans="1:11" s="166" customFormat="1" ht="25.5" outlineLevel="1" x14ac:dyDescent="0.2">
      <c r="A205" s="1518" t="s">
        <v>1579</v>
      </c>
      <c r="B205" s="1820" t="str">
        <f>COMPOSIÇÕES!A266</f>
        <v>COMPOSIÇÃO 26</v>
      </c>
      <c r="C205" s="1821"/>
      <c r="D205" s="1500" t="str">
        <f>COMPOSIÇÕES!C265</f>
        <v>CURVA HORIZONTAL 90 GRAUS PARA ELETROCALHA 50x50MM. FORNECIMENTO E INSTALAÇÕES.</v>
      </c>
      <c r="E205" s="1548" t="s">
        <v>220</v>
      </c>
      <c r="F205" s="322">
        <f>'ELE. 11'!D279</f>
        <v>2</v>
      </c>
      <c r="G205" s="162">
        <f>COMPOSIÇÕES!M271</f>
        <v>30.02</v>
      </c>
      <c r="H205" s="137">
        <f t="shared" si="59"/>
        <v>38.67</v>
      </c>
      <c r="I205" s="138">
        <f t="shared" si="60"/>
        <v>77.34</v>
      </c>
      <c r="J205" s="109"/>
      <c r="K205" s="1531"/>
    </row>
    <row r="206" spans="1:11" s="166" customFormat="1" ht="38.25" outlineLevel="1" x14ac:dyDescent="0.2">
      <c r="A206" s="1518" t="s">
        <v>1580</v>
      </c>
      <c r="B206" s="108" t="s">
        <v>282</v>
      </c>
      <c r="C206" s="68">
        <v>91863</v>
      </c>
      <c r="D206" s="1407" t="s">
        <v>1581</v>
      </c>
      <c r="E206" s="68" t="s">
        <v>214</v>
      </c>
      <c r="F206" s="322">
        <f>'ELE. 11'!D283</f>
        <v>120</v>
      </c>
      <c r="G206" s="162">
        <v>11.09</v>
      </c>
      <c r="H206" s="137">
        <f t="shared" si="59"/>
        <v>14.29</v>
      </c>
      <c r="I206" s="138">
        <f t="shared" si="60"/>
        <v>1714.8</v>
      </c>
      <c r="J206" s="109"/>
      <c r="K206" s="986"/>
    </row>
    <row r="207" spans="1:11" s="109" customFormat="1" ht="38.25" outlineLevel="1" x14ac:dyDescent="0.2">
      <c r="A207" s="1518" t="s">
        <v>1582</v>
      </c>
      <c r="B207" s="108" t="s">
        <v>282</v>
      </c>
      <c r="C207" s="615">
        <v>91890</v>
      </c>
      <c r="D207" s="948" t="s">
        <v>727</v>
      </c>
      <c r="E207" s="68" t="s">
        <v>220</v>
      </c>
      <c r="F207" s="868">
        <f>'ELE. 11'!D287</f>
        <v>52</v>
      </c>
      <c r="G207" s="1532">
        <v>9.67</v>
      </c>
      <c r="H207" s="137">
        <f t="shared" si="59"/>
        <v>12.46</v>
      </c>
      <c r="I207" s="138">
        <f t="shared" si="60"/>
        <v>647.91999999999996</v>
      </c>
      <c r="K207" s="986"/>
    </row>
    <row r="208" spans="1:11" s="109" customFormat="1" ht="38.25" outlineLevel="1" x14ac:dyDescent="0.2">
      <c r="A208" s="1518" t="s">
        <v>1583</v>
      </c>
      <c r="B208" s="108" t="s">
        <v>282</v>
      </c>
      <c r="C208" s="615">
        <v>91875</v>
      </c>
      <c r="D208" s="948" t="s">
        <v>1584</v>
      </c>
      <c r="E208" s="68" t="s">
        <v>220</v>
      </c>
      <c r="F208" s="322">
        <f>'ELE. 11'!D291</f>
        <v>104</v>
      </c>
      <c r="G208" s="1533">
        <v>5.66</v>
      </c>
      <c r="H208" s="137">
        <f t="shared" si="59"/>
        <v>7.29</v>
      </c>
      <c r="I208" s="138">
        <f t="shared" si="60"/>
        <v>758.16</v>
      </c>
      <c r="K208" s="986"/>
    </row>
    <row r="209" spans="1:11" s="109" customFormat="1" ht="38.25" outlineLevel="1" x14ac:dyDescent="0.2">
      <c r="A209" s="1518" t="s">
        <v>1585</v>
      </c>
      <c r="B209" s="108" t="s">
        <v>282</v>
      </c>
      <c r="C209" s="615">
        <v>95779</v>
      </c>
      <c r="D209" s="948" t="s">
        <v>1586</v>
      </c>
      <c r="E209" s="68" t="s">
        <v>220</v>
      </c>
      <c r="F209" s="322">
        <f>'ELE. 11'!D295</f>
        <v>52</v>
      </c>
      <c r="G209" s="1533">
        <v>23.15</v>
      </c>
      <c r="H209" s="137">
        <f t="shared" si="59"/>
        <v>29.82</v>
      </c>
      <c r="I209" s="138">
        <f t="shared" si="60"/>
        <v>1550.64</v>
      </c>
      <c r="K209" s="986"/>
    </row>
    <row r="210" spans="1:11" s="109" customFormat="1" ht="25.5" outlineLevel="1" x14ac:dyDescent="0.2">
      <c r="A210" s="1518" t="s">
        <v>1587</v>
      </c>
      <c r="B210" s="1820" t="str">
        <f>COMPOSIÇÕES!A275</f>
        <v>COMPOSIÇÃO 27</v>
      </c>
      <c r="C210" s="1821"/>
      <c r="D210" s="948" t="str">
        <f>COMPOSIÇÕES!C274</f>
        <v>SAIDA HORIZONTAL PARA ELETRODUTO 3/4". FORNECIMENTO E INSTALAÇÃO.</v>
      </c>
      <c r="E210" s="1548" t="s">
        <v>220</v>
      </c>
      <c r="F210" s="322">
        <f>'ELE. 11'!D299</f>
        <v>52</v>
      </c>
      <c r="G210" s="1533">
        <f>COMPOSIÇÕES!M280</f>
        <v>7.07</v>
      </c>
      <c r="H210" s="137">
        <f t="shared" si="59"/>
        <v>9.11</v>
      </c>
      <c r="I210" s="138">
        <f t="shared" si="60"/>
        <v>473.72</v>
      </c>
      <c r="K210" s="986"/>
    </row>
    <row r="211" spans="1:11" s="109" customFormat="1" outlineLevel="1" x14ac:dyDescent="0.2">
      <c r="A211" s="1518" t="s">
        <v>1588</v>
      </c>
      <c r="B211" s="108" t="s">
        <v>621</v>
      </c>
      <c r="C211" s="615">
        <v>171301</v>
      </c>
      <c r="D211" s="948" t="s">
        <v>1589</v>
      </c>
      <c r="E211" s="68" t="s">
        <v>220</v>
      </c>
      <c r="F211" s="322">
        <f>'ELE. 11'!D303</f>
        <v>52</v>
      </c>
      <c r="G211" s="1533">
        <v>2.2799999999999998</v>
      </c>
      <c r="H211" s="137">
        <f t="shared" si="59"/>
        <v>2.94</v>
      </c>
      <c r="I211" s="138">
        <f t="shared" si="60"/>
        <v>152.88</v>
      </c>
      <c r="K211" s="986"/>
    </row>
    <row r="212" spans="1:11" s="109" customFormat="1" ht="38.25" outlineLevel="1" x14ac:dyDescent="0.2">
      <c r="A212" s="1518" t="s">
        <v>1590</v>
      </c>
      <c r="B212" s="108" t="s">
        <v>282</v>
      </c>
      <c r="C212" s="615">
        <v>91929</v>
      </c>
      <c r="D212" s="948" t="s">
        <v>1591</v>
      </c>
      <c r="E212" s="68" t="s">
        <v>214</v>
      </c>
      <c r="F212" s="322">
        <f>'ELE. 11'!D307</f>
        <v>1550</v>
      </c>
      <c r="G212" s="1533">
        <v>7.83</v>
      </c>
      <c r="H212" s="137">
        <f t="shared" si="59"/>
        <v>10.09</v>
      </c>
      <c r="I212" s="138">
        <f t="shared" si="60"/>
        <v>15639.5</v>
      </c>
      <c r="K212" s="986"/>
    </row>
    <row r="213" spans="1:11" s="109" customFormat="1" ht="39" outlineLevel="1" thickBot="1" x14ac:dyDescent="0.25">
      <c r="A213" s="1518" t="s">
        <v>1592</v>
      </c>
      <c r="B213" s="108" t="s">
        <v>282</v>
      </c>
      <c r="C213" s="615">
        <v>91926</v>
      </c>
      <c r="D213" s="948" t="s">
        <v>700</v>
      </c>
      <c r="E213" s="68" t="s">
        <v>214</v>
      </c>
      <c r="F213" s="322">
        <f>'ELE. 11'!D311</f>
        <v>2500</v>
      </c>
      <c r="G213" s="1533">
        <v>4.12</v>
      </c>
      <c r="H213" s="137">
        <f t="shared" si="59"/>
        <v>5.31</v>
      </c>
      <c r="I213" s="138">
        <f t="shared" si="60"/>
        <v>13275</v>
      </c>
      <c r="K213" s="986"/>
    </row>
    <row r="214" spans="1:11" s="166" customFormat="1" ht="13.5" outlineLevel="1" thickBot="1" x14ac:dyDescent="0.25">
      <c r="A214" s="1273" t="s">
        <v>1593</v>
      </c>
      <c r="B214" s="1521"/>
      <c r="C214" s="1521"/>
      <c r="D214" s="1522" t="s">
        <v>1594</v>
      </c>
      <c r="E214" s="1523"/>
      <c r="F214" s="1523"/>
      <c r="G214" s="1523"/>
      <c r="H214" s="1523"/>
      <c r="I214" s="1524"/>
      <c r="J214" s="1241"/>
      <c r="K214" s="986"/>
    </row>
    <row r="215" spans="1:11" s="109" customFormat="1" ht="25.5" outlineLevel="1" x14ac:dyDescent="0.2">
      <c r="A215" s="1516" t="s">
        <v>1595</v>
      </c>
      <c r="B215" s="1862" t="str">
        <f>COMPOSIÇÕES!A284</f>
        <v>COMPOSIÇÃO 28</v>
      </c>
      <c r="C215" s="1863"/>
      <c r="D215" s="1500" t="str">
        <f>COMPOSIÇÕES!C283</f>
        <v>ELETROCALHA PERFURADA TIPO ""U"" 100X50 CHAPA 20 SEM TAMPA. FORNECIMENTO E INSTALAÇÃO.</v>
      </c>
      <c r="E215" s="1547" t="s">
        <v>214</v>
      </c>
      <c r="F215" s="322">
        <f>'ELE. 11'!D316</f>
        <v>200</v>
      </c>
      <c r="G215" s="1533">
        <f>COMPOSIÇÕES!M289</f>
        <v>55.99</v>
      </c>
      <c r="H215" s="137">
        <f t="shared" ref="H215:H245" si="61">ROUND((G215*$K$11),2)</f>
        <v>72.13</v>
      </c>
      <c r="I215" s="138">
        <f t="shared" ref="I215:I245" si="62">ROUND(((F215*H215)),2)</f>
        <v>14426</v>
      </c>
      <c r="K215" s="1531"/>
    </row>
    <row r="216" spans="1:11" s="109" customFormat="1" ht="25.5" outlineLevel="1" x14ac:dyDescent="0.2">
      <c r="A216" s="1518" t="s">
        <v>1596</v>
      </c>
      <c r="B216" s="1820" t="str">
        <f>COMPOSIÇÕES!A293</f>
        <v>COMPOSIÇÃO 29</v>
      </c>
      <c r="C216" s="1821"/>
      <c r="D216" s="1500" t="str">
        <f>COMPOSIÇÕES!C292</f>
        <v>ELETROCALHA - TAMPA DE ENCAIXE 100MM. FORNECIMENTO E INSTALAÇÃO.</v>
      </c>
      <c r="E216" s="1547" t="s">
        <v>214</v>
      </c>
      <c r="F216" s="322">
        <f>'ELE. 11'!D320</f>
        <v>200</v>
      </c>
      <c r="G216" s="1533">
        <f>COMPOSIÇÕES!M298</f>
        <v>18.170000000000002</v>
      </c>
      <c r="H216" s="137">
        <f t="shared" si="61"/>
        <v>23.41</v>
      </c>
      <c r="I216" s="138">
        <f t="shared" si="62"/>
        <v>4682</v>
      </c>
      <c r="K216" s="1531"/>
    </row>
    <row r="217" spans="1:11" s="109" customFormat="1" ht="25.5" outlineLevel="1" x14ac:dyDescent="0.2">
      <c r="A217" s="1518" t="s">
        <v>1597</v>
      </c>
      <c r="B217" s="1820" t="str">
        <f>COMPOSIÇÕES!A302</f>
        <v>COMPOSIÇÃO 30</v>
      </c>
      <c r="C217" s="1821"/>
      <c r="D217" s="1500" t="str">
        <f>COMPOSIÇÕES!C301</f>
        <v xml:space="preserve"> EMENDA INTERNA PARA ELETROCALHA 100x50MM. FORNECIMENTO E INSTALAÇÃO.</v>
      </c>
      <c r="E217" s="1547" t="s">
        <v>220</v>
      </c>
      <c r="F217" s="322">
        <f>'ELE. 11'!D324</f>
        <v>90</v>
      </c>
      <c r="G217" s="1533">
        <f>COMPOSIÇÕES!M307</f>
        <v>12.65</v>
      </c>
      <c r="H217" s="137">
        <f t="shared" si="61"/>
        <v>16.3</v>
      </c>
      <c r="I217" s="138">
        <f t="shared" si="62"/>
        <v>1467</v>
      </c>
      <c r="K217" s="1531"/>
    </row>
    <row r="218" spans="1:11" s="109" customFormat="1" ht="25.5" outlineLevel="1" x14ac:dyDescent="0.2">
      <c r="A218" s="1518" t="s">
        <v>1598</v>
      </c>
      <c r="B218" s="1820" t="str">
        <f>COMPOSIÇÕES!A311</f>
        <v>COMPOSIÇÃO 31</v>
      </c>
      <c r="C218" s="1821"/>
      <c r="D218" s="1500" t="str">
        <f>COMPOSIÇÕES!C310</f>
        <v>TE HORIZONTAL PARA ELETROCALHA 100X100MM. FORNECIMENTO E INSTALAÇÃO.</v>
      </c>
      <c r="E218" s="1547" t="s">
        <v>220</v>
      </c>
      <c r="F218" s="322">
        <f>'ELE. 11'!D328</f>
        <v>5</v>
      </c>
      <c r="G218" s="1533">
        <f>COMPOSIÇÕES!M316</f>
        <v>61.21</v>
      </c>
      <c r="H218" s="137">
        <f t="shared" si="61"/>
        <v>78.849999999999994</v>
      </c>
      <c r="I218" s="138">
        <f t="shared" si="62"/>
        <v>394.25</v>
      </c>
      <c r="K218" s="1531"/>
    </row>
    <row r="219" spans="1:11" s="109" customFormat="1" ht="25.5" outlineLevel="1" x14ac:dyDescent="0.2">
      <c r="A219" s="1518" t="s">
        <v>1599</v>
      </c>
      <c r="B219" s="1820" t="str">
        <f>COMPOSIÇÕES!A320</f>
        <v>COMPOSIÇÃO 32</v>
      </c>
      <c r="C219" s="1821"/>
      <c r="D219" s="1500" t="str">
        <f>COMPOSIÇÕES!C319</f>
        <v>ELETROCALHA - CURVA 90 GRAUS HORIZONTAL 100X50MM. FORNECIMENTO E INSTALAÇÃO.</v>
      </c>
      <c r="E219" s="1547" t="s">
        <v>220</v>
      </c>
      <c r="F219" s="322">
        <f>'ELE. 11'!D332</f>
        <v>3</v>
      </c>
      <c r="G219" s="1533">
        <f>COMPOSIÇÕES!M325</f>
        <v>75.540000000000006</v>
      </c>
      <c r="H219" s="137">
        <f t="shared" si="61"/>
        <v>97.31</v>
      </c>
      <c r="I219" s="138">
        <f t="shared" si="62"/>
        <v>291.93</v>
      </c>
      <c r="K219" s="1531"/>
    </row>
    <row r="220" spans="1:11" s="109" customFormat="1" ht="25.5" outlineLevel="1" x14ac:dyDescent="0.2">
      <c r="A220" s="1518" t="s">
        <v>1600</v>
      </c>
      <c r="B220" s="1820" t="str">
        <f>COMPOSIÇÕES!A329</f>
        <v>COMPOSIÇÃO 33</v>
      </c>
      <c r="C220" s="1821"/>
      <c r="D220" s="948" t="str">
        <f>COMPOSIÇÕES!C328</f>
        <v>TERMINAL PARA ELETROCALHA 100X50MM. FORNECIMENTO E INSTALAÇÃO.</v>
      </c>
      <c r="E220" s="1547" t="s">
        <v>220</v>
      </c>
      <c r="F220" s="322">
        <f>'ELE. 11'!D336</f>
        <v>7</v>
      </c>
      <c r="G220" s="1533">
        <f>COMPOSIÇÕES!M334</f>
        <v>27.66</v>
      </c>
      <c r="H220" s="137">
        <f t="shared" si="61"/>
        <v>35.630000000000003</v>
      </c>
      <c r="I220" s="138">
        <f t="shared" si="62"/>
        <v>249.41</v>
      </c>
      <c r="K220" s="1531"/>
    </row>
    <row r="221" spans="1:11" s="109" customFormat="1" outlineLevel="1" x14ac:dyDescent="0.2">
      <c r="A221" s="1518" t="s">
        <v>1601</v>
      </c>
      <c r="B221" s="108" t="s">
        <v>621</v>
      </c>
      <c r="C221" s="615">
        <v>171303</v>
      </c>
      <c r="D221" s="948" t="s">
        <v>1602</v>
      </c>
      <c r="E221" s="68" t="s">
        <v>220</v>
      </c>
      <c r="F221" s="322">
        <f>'ELE. 11'!D340</f>
        <v>16</v>
      </c>
      <c r="G221" s="1533">
        <v>3.01</v>
      </c>
      <c r="H221" s="137">
        <f t="shared" si="61"/>
        <v>3.88</v>
      </c>
      <c r="I221" s="138">
        <f t="shared" si="62"/>
        <v>62.08</v>
      </c>
      <c r="K221" s="986"/>
    </row>
    <row r="222" spans="1:11" s="109" customFormat="1" outlineLevel="1" x14ac:dyDescent="0.2">
      <c r="A222" s="1518" t="s">
        <v>1603</v>
      </c>
      <c r="B222" s="108" t="s">
        <v>621</v>
      </c>
      <c r="C222" s="615">
        <v>171301</v>
      </c>
      <c r="D222" s="948" t="s">
        <v>1589</v>
      </c>
      <c r="E222" s="68" t="s">
        <v>220</v>
      </c>
      <c r="F222" s="322">
        <f>'ELE. 11'!D344</f>
        <v>120</v>
      </c>
      <c r="G222" s="1533">
        <v>2.2799999999999998</v>
      </c>
      <c r="H222" s="137">
        <f t="shared" si="61"/>
        <v>2.94</v>
      </c>
      <c r="I222" s="138">
        <f t="shared" si="62"/>
        <v>352.8</v>
      </c>
      <c r="K222" s="986"/>
    </row>
    <row r="223" spans="1:11" s="109" customFormat="1" ht="25.5" outlineLevel="1" x14ac:dyDescent="0.2">
      <c r="A223" s="1518" t="s">
        <v>1604</v>
      </c>
      <c r="B223" s="1820" t="str">
        <f>COMPOSIÇÕES!A275</f>
        <v>COMPOSIÇÃO 27</v>
      </c>
      <c r="C223" s="1821"/>
      <c r="D223" s="948" t="str">
        <f>COMPOSIÇÕES!C274</f>
        <v>SAIDA HORIZONTAL PARA ELETRODUTO 3/4". FORNECIMENTO E INSTALAÇÃO.</v>
      </c>
      <c r="E223" s="1547" t="s">
        <v>220</v>
      </c>
      <c r="F223" s="322">
        <f>'ELE. 11'!D348</f>
        <v>120</v>
      </c>
      <c r="G223" s="1533">
        <f>COMPOSIÇÕES!M280</f>
        <v>7.07</v>
      </c>
      <c r="H223" s="137">
        <f t="shared" si="61"/>
        <v>9.11</v>
      </c>
      <c r="I223" s="138">
        <f t="shared" si="62"/>
        <v>1093.2</v>
      </c>
      <c r="K223" s="1531"/>
    </row>
    <row r="224" spans="1:11" s="109" customFormat="1" ht="25.5" outlineLevel="1" x14ac:dyDescent="0.2">
      <c r="A224" s="1518" t="s">
        <v>1605</v>
      </c>
      <c r="B224" s="1820" t="str">
        <f>COMPOSIÇÕES!A338</f>
        <v>COMPOSIÇÃO 34</v>
      </c>
      <c r="C224" s="1821"/>
      <c r="D224" s="948" t="str">
        <f>COMPOSIÇÕES!C337</f>
        <v>SAIDA HORIZONTAL PARA ELETRODUTO 1"". FORNECIMENTO E INSTALAÇÃO</v>
      </c>
      <c r="E224" s="1547" t="s">
        <v>220</v>
      </c>
      <c r="F224" s="322">
        <f>'ELE. 11'!D352</f>
        <v>16</v>
      </c>
      <c r="G224" s="1533">
        <f>COMPOSIÇÕES!M343</f>
        <v>8.1199999999999992</v>
      </c>
      <c r="H224" s="137">
        <f t="shared" si="61"/>
        <v>10.46</v>
      </c>
      <c r="I224" s="138">
        <f t="shared" si="62"/>
        <v>167.36</v>
      </c>
      <c r="K224" s="1531"/>
    </row>
    <row r="225" spans="1:11" s="109" customFormat="1" ht="51" outlineLevel="1" x14ac:dyDescent="0.2">
      <c r="A225" s="1518" t="s">
        <v>1606</v>
      </c>
      <c r="B225" s="108" t="s">
        <v>282</v>
      </c>
      <c r="C225" s="1549">
        <v>91170</v>
      </c>
      <c r="D225" s="948" t="s">
        <v>1529</v>
      </c>
      <c r="E225" s="68" t="s">
        <v>214</v>
      </c>
      <c r="F225" s="322">
        <f>'ELE. 11'!D356</f>
        <v>200</v>
      </c>
      <c r="G225" s="1533">
        <v>2.52</v>
      </c>
      <c r="H225" s="137">
        <f t="shared" si="61"/>
        <v>3.25</v>
      </c>
      <c r="I225" s="138">
        <f t="shared" si="62"/>
        <v>650</v>
      </c>
      <c r="K225" s="986"/>
    </row>
    <row r="226" spans="1:11" s="109" customFormat="1" ht="25.5" outlineLevel="1" x14ac:dyDescent="0.2">
      <c r="A226" s="1518" t="s">
        <v>1607</v>
      </c>
      <c r="B226" s="108" t="s">
        <v>282</v>
      </c>
      <c r="C226" s="615">
        <v>91936</v>
      </c>
      <c r="D226" s="948" t="s">
        <v>690</v>
      </c>
      <c r="E226" s="68" t="s">
        <v>220</v>
      </c>
      <c r="F226" s="322">
        <f>'ELE. 11'!D360</f>
        <v>294</v>
      </c>
      <c r="G226" s="1533">
        <v>13.17</v>
      </c>
      <c r="H226" s="137">
        <f t="shared" si="61"/>
        <v>16.97</v>
      </c>
      <c r="I226" s="138">
        <f t="shared" si="62"/>
        <v>4989.18</v>
      </c>
      <c r="K226" s="986"/>
    </row>
    <row r="227" spans="1:11" s="109" customFormat="1" ht="25.5" outlineLevel="1" x14ac:dyDescent="0.2">
      <c r="A227" s="1518" t="s">
        <v>1608</v>
      </c>
      <c r="B227" s="108" t="s">
        <v>282</v>
      </c>
      <c r="C227" s="615">
        <v>91941</v>
      </c>
      <c r="D227" s="948" t="s">
        <v>1609</v>
      </c>
      <c r="E227" s="68" t="s">
        <v>220</v>
      </c>
      <c r="F227" s="322">
        <f>'ELE. 11'!D364</f>
        <v>286</v>
      </c>
      <c r="G227" s="1533">
        <v>9.25</v>
      </c>
      <c r="H227" s="137">
        <f t="shared" si="61"/>
        <v>11.92</v>
      </c>
      <c r="I227" s="138">
        <f t="shared" si="62"/>
        <v>3409.12</v>
      </c>
      <c r="K227" s="986"/>
    </row>
    <row r="228" spans="1:11" s="109" customFormat="1" ht="38.25" outlineLevel="1" x14ac:dyDescent="0.2">
      <c r="A228" s="1518" t="s">
        <v>1610</v>
      </c>
      <c r="B228" s="108" t="s">
        <v>282</v>
      </c>
      <c r="C228" s="615">
        <v>97608</v>
      </c>
      <c r="D228" s="948" t="s">
        <v>1611</v>
      </c>
      <c r="E228" s="68" t="s">
        <v>220</v>
      </c>
      <c r="F228" s="322">
        <f>'ELE. 11'!D368</f>
        <v>19</v>
      </c>
      <c r="G228" s="1533">
        <v>150.46</v>
      </c>
      <c r="H228" s="137">
        <f t="shared" si="61"/>
        <v>193.82</v>
      </c>
      <c r="I228" s="138">
        <f t="shared" si="62"/>
        <v>3682.58</v>
      </c>
      <c r="K228" s="986"/>
    </row>
    <row r="229" spans="1:11" s="109" customFormat="1" outlineLevel="1" x14ac:dyDescent="0.2">
      <c r="A229" s="1518" t="s">
        <v>1612</v>
      </c>
      <c r="B229" s="1820" t="str">
        <f>COMPOSIÇÕES!A347</f>
        <v>COMPOSIÇÃO 35</v>
      </c>
      <c r="C229" s="1821"/>
      <c r="D229" s="1500" t="str">
        <f>COMPOSIÇÕES!C346</f>
        <v>SPOT DE LED PARA PISO 10W. FORNECIMENTO E INSTALAÇÃO.</v>
      </c>
      <c r="E229" s="1547" t="s">
        <v>220</v>
      </c>
      <c r="F229" s="322">
        <f>'ELE. 11'!D372</f>
        <v>22</v>
      </c>
      <c r="G229" s="1533">
        <f>COMPOSIÇÕES!M352</f>
        <v>130.03</v>
      </c>
      <c r="H229" s="137">
        <f t="shared" si="61"/>
        <v>167.5</v>
      </c>
      <c r="I229" s="138">
        <f t="shared" si="62"/>
        <v>3685</v>
      </c>
      <c r="K229" s="1531"/>
    </row>
    <row r="230" spans="1:11" s="109" customFormat="1" ht="25.5" outlineLevel="1" x14ac:dyDescent="0.2">
      <c r="A230" s="1518" t="s">
        <v>1613</v>
      </c>
      <c r="B230" s="1820" t="str">
        <f>COMPOSIÇÕES!A356</f>
        <v>COMPOSIÇÃO 36</v>
      </c>
      <c r="C230" s="1821"/>
      <c r="D230" s="1500" t="str">
        <f>COMPOSIÇÕES!C355</f>
        <v>LUMINÁRIA TIPO PLAFON QUADRADO DE LED 40x40cm - POTÊNCIA 40W. FORNECIMENTO E INSTALAÇÃO.</v>
      </c>
      <c r="E230" s="1547" t="s">
        <v>220</v>
      </c>
      <c r="F230" s="322">
        <f>'ELE. 11'!D376</f>
        <v>217</v>
      </c>
      <c r="G230" s="1533">
        <f>COMPOSIÇÕES!M361</f>
        <v>151.09</v>
      </c>
      <c r="H230" s="137">
        <f t="shared" si="61"/>
        <v>194.63</v>
      </c>
      <c r="I230" s="138">
        <f t="shared" si="62"/>
        <v>42234.71</v>
      </c>
      <c r="K230" s="1531"/>
    </row>
    <row r="231" spans="1:11" s="109" customFormat="1" ht="25.5" outlineLevel="1" x14ac:dyDescent="0.2">
      <c r="A231" s="1518" t="s">
        <v>1614</v>
      </c>
      <c r="B231" s="1820" t="str">
        <f>COMPOSIÇÕES!A365</f>
        <v>COMPOSIÇÃO 37</v>
      </c>
      <c r="C231" s="1821"/>
      <c r="D231" s="1500" t="str">
        <f>COMPOSIÇÕES!C364</f>
        <v>LUMINÁRIA TIPO PLAFON QUADRADO DE LED 30x30cm - POTÊNCIA 20W. FORNECIMENTO E INSTALAÇÃO.</v>
      </c>
      <c r="E231" s="1547" t="s">
        <v>220</v>
      </c>
      <c r="F231" s="322">
        <f>'ELE. 11'!D380</f>
        <v>41</v>
      </c>
      <c r="G231" s="1533">
        <f>COMPOSIÇÕES!M370</f>
        <v>120.34</v>
      </c>
      <c r="H231" s="137">
        <f t="shared" si="61"/>
        <v>155.02000000000001</v>
      </c>
      <c r="I231" s="138">
        <f t="shared" si="62"/>
        <v>6355.82</v>
      </c>
      <c r="K231" s="1531"/>
    </row>
    <row r="232" spans="1:11" s="109" customFormat="1" ht="38.25" outlineLevel="1" x14ac:dyDescent="0.2">
      <c r="A232" s="1518" t="s">
        <v>1615</v>
      </c>
      <c r="B232" s="108" t="s">
        <v>282</v>
      </c>
      <c r="C232" s="615">
        <v>91864</v>
      </c>
      <c r="D232" s="948" t="s">
        <v>1616</v>
      </c>
      <c r="E232" s="68" t="s">
        <v>214</v>
      </c>
      <c r="F232" s="322">
        <f>'ELE. 11'!D384</f>
        <v>50</v>
      </c>
      <c r="G232" s="1533">
        <v>15.07</v>
      </c>
      <c r="H232" s="137">
        <f t="shared" si="61"/>
        <v>19.41</v>
      </c>
      <c r="I232" s="138">
        <f t="shared" si="62"/>
        <v>970.5</v>
      </c>
      <c r="K232" s="986"/>
    </row>
    <row r="233" spans="1:11" s="109" customFormat="1" ht="38.25" outlineLevel="1" x14ac:dyDescent="0.2">
      <c r="A233" s="1518" t="s">
        <v>1617</v>
      </c>
      <c r="B233" s="108" t="s">
        <v>282</v>
      </c>
      <c r="C233" s="615">
        <v>91863</v>
      </c>
      <c r="D233" s="948" t="s">
        <v>1581</v>
      </c>
      <c r="E233" s="68" t="s">
        <v>214</v>
      </c>
      <c r="F233" s="322">
        <f>'ELE. 11'!D388</f>
        <v>2100</v>
      </c>
      <c r="G233" s="1533">
        <v>11.09</v>
      </c>
      <c r="H233" s="137">
        <f t="shared" si="61"/>
        <v>14.29</v>
      </c>
      <c r="I233" s="138">
        <f t="shared" si="62"/>
        <v>30009</v>
      </c>
      <c r="K233" s="986"/>
    </row>
    <row r="234" spans="1:11" s="109" customFormat="1" ht="38.25" outlineLevel="1" x14ac:dyDescent="0.2">
      <c r="A234" s="1518" t="s">
        <v>1618</v>
      </c>
      <c r="B234" s="108" t="s">
        <v>282</v>
      </c>
      <c r="C234" s="615">
        <v>91917</v>
      </c>
      <c r="D234" s="948" t="s">
        <v>1619</v>
      </c>
      <c r="E234" s="68" t="s">
        <v>220</v>
      </c>
      <c r="F234" s="322">
        <f>'ELE. 11'!D392</f>
        <v>16</v>
      </c>
      <c r="G234" s="1533">
        <v>15.85</v>
      </c>
      <c r="H234" s="137">
        <f t="shared" si="61"/>
        <v>20.420000000000002</v>
      </c>
      <c r="I234" s="138">
        <f t="shared" si="62"/>
        <v>326.72000000000003</v>
      </c>
      <c r="K234" s="986"/>
    </row>
    <row r="235" spans="1:11" s="109" customFormat="1" ht="38.25" outlineLevel="1" x14ac:dyDescent="0.2">
      <c r="A235" s="1518" t="s">
        <v>1620</v>
      </c>
      <c r="B235" s="108" t="s">
        <v>282</v>
      </c>
      <c r="C235" s="615">
        <v>91890</v>
      </c>
      <c r="D235" s="948" t="s">
        <v>727</v>
      </c>
      <c r="E235" s="68" t="s">
        <v>220</v>
      </c>
      <c r="F235" s="322">
        <f>'ELE. 11'!D396</f>
        <v>244</v>
      </c>
      <c r="G235" s="1533">
        <v>9.67</v>
      </c>
      <c r="H235" s="137">
        <f t="shared" si="61"/>
        <v>12.46</v>
      </c>
      <c r="I235" s="138">
        <f t="shared" si="62"/>
        <v>3040.24</v>
      </c>
      <c r="K235" s="986"/>
    </row>
    <row r="236" spans="1:11" s="109" customFormat="1" ht="38.25" outlineLevel="1" x14ac:dyDescent="0.2">
      <c r="A236" s="1518" t="s">
        <v>1621</v>
      </c>
      <c r="B236" s="108" t="s">
        <v>282</v>
      </c>
      <c r="C236" s="615">
        <v>91885</v>
      </c>
      <c r="D236" s="1396" t="s">
        <v>1622</v>
      </c>
      <c r="E236" s="108" t="s">
        <v>220</v>
      </c>
      <c r="F236" s="322">
        <f>'ELE. 11'!D400</f>
        <v>64</v>
      </c>
      <c r="G236" s="1533">
        <v>9.19</v>
      </c>
      <c r="H236" s="137">
        <f t="shared" si="61"/>
        <v>11.84</v>
      </c>
      <c r="I236" s="138">
        <f t="shared" si="62"/>
        <v>757.76</v>
      </c>
      <c r="K236" s="986"/>
    </row>
    <row r="237" spans="1:11" s="109" customFormat="1" ht="38.25" outlineLevel="1" x14ac:dyDescent="0.2">
      <c r="A237" s="1518" t="s">
        <v>1623</v>
      </c>
      <c r="B237" s="108" t="s">
        <v>282</v>
      </c>
      <c r="C237" s="615">
        <v>91875</v>
      </c>
      <c r="D237" s="948" t="s">
        <v>1584</v>
      </c>
      <c r="E237" s="68" t="s">
        <v>220</v>
      </c>
      <c r="F237" s="322">
        <f>'ELE. 11'!D404</f>
        <v>620</v>
      </c>
      <c r="G237" s="1533">
        <v>5.66</v>
      </c>
      <c r="H237" s="137">
        <f t="shared" si="61"/>
        <v>7.29</v>
      </c>
      <c r="I237" s="138">
        <f t="shared" si="62"/>
        <v>4519.8</v>
      </c>
      <c r="K237" s="986"/>
    </row>
    <row r="238" spans="1:11" s="109" customFormat="1" ht="25.5" outlineLevel="1" x14ac:dyDescent="0.2">
      <c r="A238" s="1518" t="s">
        <v>1624</v>
      </c>
      <c r="B238" s="108" t="s">
        <v>282</v>
      </c>
      <c r="C238" s="615">
        <v>91955</v>
      </c>
      <c r="D238" s="948" t="s">
        <v>689</v>
      </c>
      <c r="E238" s="68" t="s">
        <v>220</v>
      </c>
      <c r="F238" s="322">
        <f>'ELE. 11'!D408</f>
        <v>4</v>
      </c>
      <c r="G238" s="1533">
        <v>28.2</v>
      </c>
      <c r="H238" s="137">
        <f t="shared" si="61"/>
        <v>36.33</v>
      </c>
      <c r="I238" s="138">
        <f t="shared" si="62"/>
        <v>145.32</v>
      </c>
      <c r="K238" s="986"/>
    </row>
    <row r="239" spans="1:11" s="109" customFormat="1" ht="25.5" outlineLevel="1" x14ac:dyDescent="0.2">
      <c r="A239" s="1518" t="s">
        <v>1625</v>
      </c>
      <c r="B239" s="108" t="s">
        <v>282</v>
      </c>
      <c r="C239" s="615">
        <v>91953</v>
      </c>
      <c r="D239" s="948" t="s">
        <v>1626</v>
      </c>
      <c r="E239" s="68" t="s">
        <v>220</v>
      </c>
      <c r="F239" s="322">
        <f>'ELE. 11'!D412</f>
        <v>44</v>
      </c>
      <c r="G239" s="1533">
        <v>22.85</v>
      </c>
      <c r="H239" s="137">
        <f t="shared" si="61"/>
        <v>29.44</v>
      </c>
      <c r="I239" s="138">
        <f t="shared" si="62"/>
        <v>1295.3599999999999</v>
      </c>
      <c r="K239" s="986"/>
    </row>
    <row r="240" spans="1:11" s="109" customFormat="1" ht="25.5" outlineLevel="1" x14ac:dyDescent="0.2">
      <c r="A240" s="1518" t="s">
        <v>1627</v>
      </c>
      <c r="B240" s="108" t="s">
        <v>282</v>
      </c>
      <c r="C240" s="615">
        <v>91959</v>
      </c>
      <c r="D240" s="948" t="s">
        <v>1628</v>
      </c>
      <c r="E240" s="68" t="s">
        <v>220</v>
      </c>
      <c r="F240" s="322">
        <f>'ELE. 11'!D416</f>
        <v>10</v>
      </c>
      <c r="G240" s="1533">
        <v>36.24</v>
      </c>
      <c r="H240" s="137">
        <f t="shared" si="61"/>
        <v>46.68</v>
      </c>
      <c r="I240" s="138">
        <f t="shared" si="62"/>
        <v>466.8</v>
      </c>
      <c r="K240" s="986"/>
    </row>
    <row r="241" spans="1:11" s="109" customFormat="1" ht="25.5" outlineLevel="1" x14ac:dyDescent="0.2">
      <c r="A241" s="1518" t="s">
        <v>1629</v>
      </c>
      <c r="B241" s="108" t="s">
        <v>282</v>
      </c>
      <c r="C241" s="615">
        <v>91967</v>
      </c>
      <c r="D241" s="948" t="s">
        <v>1630</v>
      </c>
      <c r="E241" s="68" t="s">
        <v>220</v>
      </c>
      <c r="F241" s="322">
        <f>'ELE. 11'!D420</f>
        <v>1</v>
      </c>
      <c r="G241" s="1533">
        <v>49.63</v>
      </c>
      <c r="H241" s="137">
        <f t="shared" si="61"/>
        <v>63.93</v>
      </c>
      <c r="I241" s="138">
        <f t="shared" si="62"/>
        <v>63.93</v>
      </c>
      <c r="K241" s="986"/>
    </row>
    <row r="242" spans="1:11" s="109" customFormat="1" ht="25.5" outlineLevel="1" x14ac:dyDescent="0.2">
      <c r="A242" s="1518" t="s">
        <v>1631</v>
      </c>
      <c r="B242" s="108" t="s">
        <v>282</v>
      </c>
      <c r="C242" s="615">
        <v>92008</v>
      </c>
      <c r="D242" s="948" t="s">
        <v>1632</v>
      </c>
      <c r="E242" s="68" t="s">
        <v>220</v>
      </c>
      <c r="F242" s="322">
        <f>'ELE. 11'!D424</f>
        <v>82</v>
      </c>
      <c r="G242" s="1533">
        <v>38.9</v>
      </c>
      <c r="H242" s="137">
        <f t="shared" si="61"/>
        <v>50.11</v>
      </c>
      <c r="I242" s="138">
        <f t="shared" si="62"/>
        <v>4109.0200000000004</v>
      </c>
      <c r="K242" s="986"/>
    </row>
    <row r="243" spans="1:11" s="109" customFormat="1" ht="25.5" outlineLevel="1" x14ac:dyDescent="0.2">
      <c r="A243" s="1518" t="s">
        <v>1633</v>
      </c>
      <c r="B243" s="108" t="s">
        <v>282</v>
      </c>
      <c r="C243" s="615">
        <v>92000</v>
      </c>
      <c r="D243" s="948" t="s">
        <v>1634</v>
      </c>
      <c r="E243" s="68" t="s">
        <v>220</v>
      </c>
      <c r="F243" s="322">
        <f>'ELE. 11'!D428</f>
        <v>122</v>
      </c>
      <c r="G243" s="1533">
        <v>24.2</v>
      </c>
      <c r="H243" s="137">
        <f t="shared" si="61"/>
        <v>31.17</v>
      </c>
      <c r="I243" s="138">
        <f t="shared" si="62"/>
        <v>3802.74</v>
      </c>
      <c r="K243" s="986"/>
    </row>
    <row r="244" spans="1:11" s="109" customFormat="1" ht="38.25" outlineLevel="1" x14ac:dyDescent="0.2">
      <c r="A244" s="1518" t="s">
        <v>1635</v>
      </c>
      <c r="B244" s="108" t="s">
        <v>282</v>
      </c>
      <c r="C244" s="615">
        <v>91928</v>
      </c>
      <c r="D244" s="948" t="s">
        <v>704</v>
      </c>
      <c r="E244" s="68" t="s">
        <v>214</v>
      </c>
      <c r="F244" s="322">
        <f>'ELE. 11'!D432</f>
        <v>3600</v>
      </c>
      <c r="G244" s="1533">
        <v>6.83</v>
      </c>
      <c r="H244" s="137">
        <f t="shared" si="61"/>
        <v>8.8000000000000007</v>
      </c>
      <c r="I244" s="138">
        <f t="shared" si="62"/>
        <v>31680</v>
      </c>
      <c r="K244" s="986"/>
    </row>
    <row r="245" spans="1:11" s="109" customFormat="1" ht="39" outlineLevel="1" thickBot="1" x14ac:dyDescent="0.25">
      <c r="A245" s="1518" t="s">
        <v>1636</v>
      </c>
      <c r="B245" s="108" t="s">
        <v>282</v>
      </c>
      <c r="C245" s="615">
        <v>91926</v>
      </c>
      <c r="D245" s="948" t="s">
        <v>700</v>
      </c>
      <c r="E245" s="68" t="s">
        <v>214</v>
      </c>
      <c r="F245" s="322">
        <f>'ELE. 11'!D436</f>
        <v>4000</v>
      </c>
      <c r="G245" s="1533">
        <v>4.12</v>
      </c>
      <c r="H245" s="137">
        <f t="shared" si="61"/>
        <v>5.31</v>
      </c>
      <c r="I245" s="138">
        <f t="shared" si="62"/>
        <v>21240</v>
      </c>
      <c r="K245" s="986"/>
    </row>
    <row r="246" spans="1:11" s="109" customFormat="1" ht="13.5" outlineLevel="1" thickBot="1" x14ac:dyDescent="0.25">
      <c r="A246" s="1273" t="s">
        <v>1637</v>
      </c>
      <c r="B246" s="1534"/>
      <c r="C246" s="1079"/>
      <c r="D246" s="1535" t="s">
        <v>687</v>
      </c>
      <c r="E246" s="902"/>
      <c r="F246" s="903"/>
      <c r="G246" s="1536"/>
      <c r="H246" s="904"/>
      <c r="I246" s="959"/>
      <c r="K246" s="986"/>
    </row>
    <row r="247" spans="1:11" s="109" customFormat="1" ht="25.5" outlineLevel="1" x14ac:dyDescent="0.2">
      <c r="A247" s="1516" t="s">
        <v>1638</v>
      </c>
      <c r="B247" s="1516" t="s">
        <v>282</v>
      </c>
      <c r="C247" s="1078">
        <v>96985</v>
      </c>
      <c r="D247" s="1550" t="s">
        <v>834</v>
      </c>
      <c r="E247" s="69" t="s">
        <v>220</v>
      </c>
      <c r="F247" s="868">
        <f>'ELE. 11'!D441</f>
        <v>25</v>
      </c>
      <c r="G247" s="1532">
        <v>86.05</v>
      </c>
      <c r="H247" s="137">
        <f t="shared" ref="H247:H257" si="63">ROUND((G247*$K$11),2)</f>
        <v>110.85</v>
      </c>
      <c r="I247" s="138">
        <f t="shared" ref="I247:I257" si="64">ROUND(((F247*H247)),2)</f>
        <v>2771.25</v>
      </c>
      <c r="K247" s="986"/>
    </row>
    <row r="248" spans="1:11" s="109" customFormat="1" ht="25.5" outlineLevel="1" x14ac:dyDescent="0.2">
      <c r="A248" s="1518" t="s">
        <v>1639</v>
      </c>
      <c r="B248" s="108" t="s">
        <v>282</v>
      </c>
      <c r="C248" s="615">
        <v>98111</v>
      </c>
      <c r="D248" s="948" t="s">
        <v>711</v>
      </c>
      <c r="E248" s="68" t="s">
        <v>220</v>
      </c>
      <c r="F248" s="322">
        <f>'ELE. 11'!D445</f>
        <v>25</v>
      </c>
      <c r="G248" s="1533">
        <v>49.16</v>
      </c>
      <c r="H248" s="137">
        <f t="shared" si="63"/>
        <v>63.33</v>
      </c>
      <c r="I248" s="138">
        <f t="shared" si="64"/>
        <v>1583.25</v>
      </c>
      <c r="K248" s="986"/>
    </row>
    <row r="249" spans="1:11" s="109" customFormat="1" outlineLevel="1" x14ac:dyDescent="0.2">
      <c r="A249" s="1518" t="s">
        <v>1640</v>
      </c>
      <c r="B249" s="108" t="s">
        <v>621</v>
      </c>
      <c r="C249" s="615">
        <v>171143</v>
      </c>
      <c r="D249" s="1396" t="s">
        <v>1641</v>
      </c>
      <c r="E249" s="108" t="s">
        <v>220</v>
      </c>
      <c r="F249" s="322">
        <f>'ELE. 11'!D449</f>
        <v>2</v>
      </c>
      <c r="G249" s="1533">
        <v>110.11</v>
      </c>
      <c r="H249" s="137">
        <f t="shared" si="63"/>
        <v>141.84</v>
      </c>
      <c r="I249" s="138">
        <f t="shared" si="64"/>
        <v>283.68</v>
      </c>
      <c r="K249" s="986"/>
    </row>
    <row r="250" spans="1:11" s="109" customFormat="1" outlineLevel="1" x14ac:dyDescent="0.2">
      <c r="A250" s="1518" t="s">
        <v>1642</v>
      </c>
      <c r="B250" s="108" t="s">
        <v>621</v>
      </c>
      <c r="C250" s="615">
        <v>170380</v>
      </c>
      <c r="D250" s="948" t="s">
        <v>710</v>
      </c>
      <c r="E250" s="108" t="s">
        <v>220</v>
      </c>
      <c r="F250" s="322">
        <f>'ELE. 11'!D453</f>
        <v>2</v>
      </c>
      <c r="G250" s="1533">
        <v>987.59</v>
      </c>
      <c r="H250" s="137">
        <f t="shared" si="63"/>
        <v>1272.21</v>
      </c>
      <c r="I250" s="138">
        <f t="shared" si="64"/>
        <v>2544.42</v>
      </c>
      <c r="K250" s="986"/>
    </row>
    <row r="251" spans="1:11" s="109" customFormat="1" outlineLevel="1" x14ac:dyDescent="0.2">
      <c r="A251" s="1518" t="s">
        <v>1643</v>
      </c>
      <c r="B251" s="108" t="s">
        <v>621</v>
      </c>
      <c r="C251" s="615">
        <v>170378</v>
      </c>
      <c r="D251" s="1396" t="s">
        <v>1644</v>
      </c>
      <c r="E251" s="108" t="s">
        <v>220</v>
      </c>
      <c r="F251" s="322">
        <f>'ELE. 11'!D457</f>
        <v>2</v>
      </c>
      <c r="G251" s="1533">
        <v>161.96</v>
      </c>
      <c r="H251" s="137">
        <f t="shared" si="63"/>
        <v>208.64</v>
      </c>
      <c r="I251" s="138">
        <f t="shared" si="64"/>
        <v>417.28</v>
      </c>
      <c r="K251" s="986"/>
    </row>
    <row r="252" spans="1:11" s="109" customFormat="1" ht="25.5" outlineLevel="1" x14ac:dyDescent="0.2">
      <c r="A252" s="1518" t="s">
        <v>1645</v>
      </c>
      <c r="B252" s="1820" t="str">
        <f>COMPOSIÇÕES!A374</f>
        <v>COMPOSIÇÃO 38</v>
      </c>
      <c r="C252" s="1821"/>
      <c r="D252" s="1546" t="str">
        <f>COMPOSIÇÕES!C373</f>
        <v>TERMINAL AEREO EM ACO GALVANIZADO COM BASE DE FIXACAO H = 30CM. FORNECIMENTO E INSTALAÇÃO</v>
      </c>
      <c r="E252" s="1548" t="s">
        <v>220</v>
      </c>
      <c r="F252" s="322">
        <f>'ELE. 11'!D461</f>
        <v>34</v>
      </c>
      <c r="G252" s="1533">
        <f>COMPOSIÇÕES!M379</f>
        <v>67.75</v>
      </c>
      <c r="H252" s="137">
        <f t="shared" si="63"/>
        <v>87.28</v>
      </c>
      <c r="I252" s="138">
        <f t="shared" si="64"/>
        <v>2967.52</v>
      </c>
      <c r="K252" s="986"/>
    </row>
    <row r="253" spans="1:11" s="109" customFormat="1" outlineLevel="1" x14ac:dyDescent="0.2">
      <c r="A253" s="1518" t="s">
        <v>1646</v>
      </c>
      <c r="B253" s="108" t="s">
        <v>621</v>
      </c>
      <c r="C253" s="615">
        <v>171074</v>
      </c>
      <c r="D253" s="948" t="s">
        <v>1647</v>
      </c>
      <c r="E253" s="108" t="s">
        <v>220</v>
      </c>
      <c r="F253" s="322">
        <f>'ELE. 11'!D465</f>
        <v>66</v>
      </c>
      <c r="G253" s="1533">
        <v>6.54</v>
      </c>
      <c r="H253" s="137">
        <f t="shared" si="63"/>
        <v>8.42</v>
      </c>
      <c r="I253" s="138">
        <f t="shared" si="64"/>
        <v>555.72</v>
      </c>
      <c r="K253" s="986"/>
    </row>
    <row r="254" spans="1:11" s="109" customFormat="1" ht="25.5" outlineLevel="1" x14ac:dyDescent="0.2">
      <c r="A254" s="1518" t="s">
        <v>1648</v>
      </c>
      <c r="B254" s="108" t="s">
        <v>282</v>
      </c>
      <c r="C254" s="1549">
        <v>96973</v>
      </c>
      <c r="D254" s="948" t="s">
        <v>1649</v>
      </c>
      <c r="E254" s="108" t="s">
        <v>214</v>
      </c>
      <c r="F254" s="322">
        <f>'ELE. 11'!D469</f>
        <v>325</v>
      </c>
      <c r="G254" s="1533">
        <v>57.33</v>
      </c>
      <c r="H254" s="137">
        <f t="shared" si="63"/>
        <v>73.849999999999994</v>
      </c>
      <c r="I254" s="138">
        <f t="shared" si="64"/>
        <v>24001.25</v>
      </c>
      <c r="K254" s="986"/>
    </row>
    <row r="255" spans="1:11" s="109" customFormat="1" ht="25.5" outlineLevel="1" x14ac:dyDescent="0.2">
      <c r="A255" s="1518" t="s">
        <v>1650</v>
      </c>
      <c r="B255" s="108" t="s">
        <v>282</v>
      </c>
      <c r="C255" s="615">
        <v>96977</v>
      </c>
      <c r="D255" s="1396" t="s">
        <v>1521</v>
      </c>
      <c r="E255" s="108" t="s">
        <v>214</v>
      </c>
      <c r="F255" s="322">
        <f>'ELE. 11'!D473</f>
        <v>200</v>
      </c>
      <c r="G255" s="1533">
        <v>54.75</v>
      </c>
      <c r="H255" s="137">
        <f t="shared" si="63"/>
        <v>70.53</v>
      </c>
      <c r="I255" s="138">
        <f t="shared" si="64"/>
        <v>14106</v>
      </c>
      <c r="K255" s="986"/>
    </row>
    <row r="256" spans="1:11" s="109" customFormat="1" outlineLevel="1" x14ac:dyDescent="0.2">
      <c r="A256" s="1518" t="s">
        <v>1651</v>
      </c>
      <c r="B256" s="108" t="s">
        <v>621</v>
      </c>
      <c r="C256" s="615">
        <v>171299</v>
      </c>
      <c r="D256" s="948" t="s">
        <v>833</v>
      </c>
      <c r="E256" s="108" t="s">
        <v>1507</v>
      </c>
      <c r="F256" s="322">
        <f>'ELE. 11'!D477</f>
        <v>50</v>
      </c>
      <c r="G256" s="1533">
        <v>36.369999999999997</v>
      </c>
      <c r="H256" s="137">
        <f t="shared" si="63"/>
        <v>46.85</v>
      </c>
      <c r="I256" s="138">
        <f t="shared" si="64"/>
        <v>2342.5</v>
      </c>
      <c r="K256" s="986"/>
    </row>
    <row r="257" spans="1:14" s="109" customFormat="1" ht="38.25" outlineLevel="1" x14ac:dyDescent="0.2">
      <c r="A257" s="1518" t="s">
        <v>1652</v>
      </c>
      <c r="B257" s="108" t="s">
        <v>282</v>
      </c>
      <c r="C257" s="615">
        <v>91864</v>
      </c>
      <c r="D257" s="948" t="s">
        <v>1616</v>
      </c>
      <c r="E257" s="108" t="s">
        <v>214</v>
      </c>
      <c r="F257" s="322">
        <f>'ELE. 11'!D481</f>
        <v>750</v>
      </c>
      <c r="G257" s="1533">
        <v>15.07</v>
      </c>
      <c r="H257" s="137">
        <f t="shared" si="63"/>
        <v>19.41</v>
      </c>
      <c r="I257" s="138">
        <f t="shared" si="64"/>
        <v>14557.5</v>
      </c>
      <c r="K257" s="986"/>
    </row>
    <row r="258" spans="1:14" s="109" customFormat="1" x14ac:dyDescent="0.2">
      <c r="A258" s="1817" t="s">
        <v>950</v>
      </c>
      <c r="B258" s="1818"/>
      <c r="C258" s="1818"/>
      <c r="D258" s="1818"/>
      <c r="E258" s="1818"/>
      <c r="F258" s="1818"/>
      <c r="G258" s="1818"/>
      <c r="H258" s="1819"/>
      <c r="I258" s="1127">
        <f>ROUND(SUM(I133:I257),2)</f>
        <v>512904.14</v>
      </c>
      <c r="K258" s="751"/>
      <c r="M258" s="195"/>
    </row>
    <row r="259" spans="1:14" s="109" customFormat="1" ht="13.5" thickBot="1" x14ac:dyDescent="0.25">
      <c r="A259" s="660"/>
      <c r="B259" s="1125"/>
      <c r="C259" s="1125"/>
      <c r="D259" s="1125"/>
      <c r="E259" s="1125"/>
      <c r="F259" s="1125"/>
      <c r="G259" s="1125"/>
      <c r="H259" s="1125"/>
      <c r="I259" s="1126"/>
      <c r="K259" s="751"/>
    </row>
    <row r="260" spans="1:14" s="92" customFormat="1" ht="26.45" customHeight="1" thickBot="1" x14ac:dyDescent="0.25">
      <c r="A260" s="1080">
        <v>12</v>
      </c>
      <c r="B260" s="1081"/>
      <c r="C260" s="1081"/>
      <c r="D260" s="1082" t="s">
        <v>1509</v>
      </c>
      <c r="E260" s="1082"/>
      <c r="F260" s="1082"/>
      <c r="G260" s="1082"/>
      <c r="H260" s="1082"/>
      <c r="I260" s="918"/>
      <c r="J260" s="94">
        <f>I298/$I$488</f>
        <v>2.9033184495560305E-2</v>
      </c>
      <c r="K260" s="975"/>
    </row>
    <row r="261" spans="1:14" ht="27.75" customHeight="1" x14ac:dyDescent="0.2">
      <c r="A261" s="895" t="s">
        <v>25</v>
      </c>
      <c r="B261" s="895" t="s">
        <v>282</v>
      </c>
      <c r="C261" s="68">
        <v>98307</v>
      </c>
      <c r="D261" s="866" t="s">
        <v>1275</v>
      </c>
      <c r="E261" s="68" t="s">
        <v>220</v>
      </c>
      <c r="F261" s="322">
        <f>'INS. LÓG. 12'!D17</f>
        <v>17</v>
      </c>
      <c r="G261" s="162">
        <v>44.07</v>
      </c>
      <c r="H261" s="162">
        <f t="shared" ref="H261:H294" si="65">ROUND((G261*$K$11),2)</f>
        <v>56.77</v>
      </c>
      <c r="I261" s="960">
        <f t="shared" ref="I261:I294" si="66">ROUND(((F261*H261)),2)</f>
        <v>965.09</v>
      </c>
      <c r="J261" s="109"/>
      <c r="K261" s="751">
        <f t="shared" ref="K261:K294" si="67">I261/$I$488</f>
        <v>2.58800614671639E-4</v>
      </c>
    </row>
    <row r="262" spans="1:14" x14ac:dyDescent="0.2">
      <c r="A262" s="1517" t="s">
        <v>26</v>
      </c>
      <c r="B262" s="895" t="s">
        <v>621</v>
      </c>
      <c r="C262" s="68">
        <v>171182</v>
      </c>
      <c r="D262" s="866" t="s">
        <v>1274</v>
      </c>
      <c r="E262" s="68" t="s">
        <v>220</v>
      </c>
      <c r="F262" s="322">
        <f>'INS. LÓG. 12'!D21</f>
        <v>57</v>
      </c>
      <c r="G262" s="162">
        <v>50.34</v>
      </c>
      <c r="H262" s="162">
        <f t="shared" si="65"/>
        <v>64.849999999999994</v>
      </c>
      <c r="I262" s="960">
        <f t="shared" si="66"/>
        <v>3696.45</v>
      </c>
      <c r="J262" s="109"/>
      <c r="K262" s="751">
        <f t="shared" si="67"/>
        <v>9.9124799977512966E-4</v>
      </c>
    </row>
    <row r="263" spans="1:14" x14ac:dyDescent="0.2">
      <c r="A263" s="1517" t="s">
        <v>1305</v>
      </c>
      <c r="B263" s="1824" t="str">
        <f>COMPOSIÇÕES!A679</f>
        <v>COMPOSIÇÃO 64</v>
      </c>
      <c r="C263" s="1825"/>
      <c r="D263" s="866" t="s">
        <v>713</v>
      </c>
      <c r="E263" s="68" t="s">
        <v>220</v>
      </c>
      <c r="F263" s="322">
        <f>'INS. LÓG. 12'!D25</f>
        <v>185</v>
      </c>
      <c r="G263" s="162">
        <f>COMPOSIÇÕES!M684</f>
        <v>15.629999999999999</v>
      </c>
      <c r="H263" s="162">
        <f t="shared" si="65"/>
        <v>20.13</v>
      </c>
      <c r="I263" s="960">
        <f t="shared" si="66"/>
        <v>3724.05</v>
      </c>
      <c r="J263" s="109"/>
      <c r="K263" s="751">
        <f t="shared" si="67"/>
        <v>9.9864927526750595E-4</v>
      </c>
    </row>
    <row r="264" spans="1:14" x14ac:dyDescent="0.2">
      <c r="A264" s="1517" t="s">
        <v>1306</v>
      </c>
      <c r="B264" s="895" t="s">
        <v>621</v>
      </c>
      <c r="C264" s="68">
        <v>170951</v>
      </c>
      <c r="D264" s="866" t="s">
        <v>955</v>
      </c>
      <c r="E264" s="68" t="s">
        <v>220</v>
      </c>
      <c r="F264" s="322">
        <f>'INS. LÓG. 12'!D29</f>
        <v>6</v>
      </c>
      <c r="G264" s="162">
        <v>12.75</v>
      </c>
      <c r="H264" s="162">
        <f t="shared" si="65"/>
        <v>16.420000000000002</v>
      </c>
      <c r="I264" s="960">
        <f t="shared" si="66"/>
        <v>98.52</v>
      </c>
      <c r="J264" s="109"/>
      <c r="K264" s="751">
        <f t="shared" si="67"/>
        <v>2.6419335561916374E-5</v>
      </c>
    </row>
    <row r="265" spans="1:14" ht="25.5" x14ac:dyDescent="0.2">
      <c r="A265" s="1517" t="s">
        <v>1307</v>
      </c>
      <c r="B265" s="895" t="s">
        <v>282</v>
      </c>
      <c r="C265" s="68">
        <v>91940</v>
      </c>
      <c r="D265" s="866" t="s">
        <v>691</v>
      </c>
      <c r="E265" s="68" t="s">
        <v>220</v>
      </c>
      <c r="F265" s="322">
        <f>'INS. LÓG. 12'!D33</f>
        <v>105</v>
      </c>
      <c r="G265" s="162">
        <v>13.25</v>
      </c>
      <c r="H265" s="162">
        <f t="shared" si="65"/>
        <v>17.07</v>
      </c>
      <c r="I265" s="960">
        <f t="shared" si="66"/>
        <v>1792.35</v>
      </c>
      <c r="J265" s="109"/>
      <c r="K265" s="751">
        <f t="shared" si="67"/>
        <v>4.8064043944783609E-4</v>
      </c>
    </row>
    <row r="266" spans="1:14" ht="25.5" x14ac:dyDescent="0.2">
      <c r="A266" s="1517" t="s">
        <v>1308</v>
      </c>
      <c r="B266" s="895" t="s">
        <v>282</v>
      </c>
      <c r="C266" s="68">
        <v>91944</v>
      </c>
      <c r="D266" s="866" t="s">
        <v>714</v>
      </c>
      <c r="E266" s="68" t="s">
        <v>220</v>
      </c>
      <c r="F266" s="322">
        <f>'INS. LÓG. 12'!D37</f>
        <v>7</v>
      </c>
      <c r="G266" s="162">
        <v>13.17</v>
      </c>
      <c r="H266" s="162">
        <f t="shared" si="65"/>
        <v>16.97</v>
      </c>
      <c r="I266" s="960">
        <f t="shared" si="66"/>
        <v>118.79</v>
      </c>
      <c r="J266" s="109"/>
      <c r="K266" s="751">
        <f t="shared" si="67"/>
        <v>3.1854982454324468E-5</v>
      </c>
      <c r="N266" s="905" t="e">
        <f>I264+I265+I266+I267+I268+I269+I270+I271+I272+I273+I274+I275+I278+I279+I280+I281+I282+I283+I284+I285+I286+I287+I288+I289+I291+I290+I292+#REF!+#REF!+#REF!+#REF!+#REF!+#REF!+#REF!+#REF!+#REF!+#REF!+#REF!+#REF!+#REF!+#REF!+#REF!+#REF!+#REF!+#REF!</f>
        <v>#REF!</v>
      </c>
    </row>
    <row r="267" spans="1:14" ht="25.5" x14ac:dyDescent="0.2">
      <c r="A267" s="1517" t="s">
        <v>1309</v>
      </c>
      <c r="B267" s="895" t="s">
        <v>282</v>
      </c>
      <c r="C267" s="68">
        <v>92868</v>
      </c>
      <c r="D267" s="866" t="s">
        <v>715</v>
      </c>
      <c r="E267" s="68" t="s">
        <v>220</v>
      </c>
      <c r="F267" s="322">
        <f>'INS. LÓG. 12'!D41</f>
        <v>3</v>
      </c>
      <c r="G267" s="162">
        <v>12.05</v>
      </c>
      <c r="H267" s="162">
        <f t="shared" si="65"/>
        <v>15.52</v>
      </c>
      <c r="I267" s="960">
        <f t="shared" si="66"/>
        <v>46.56</v>
      </c>
      <c r="J267" s="109"/>
      <c r="K267" s="751">
        <f t="shared" si="67"/>
        <v>1.2485629961051833E-5</v>
      </c>
      <c r="N267" s="1098" t="e">
        <f>N266/I298</f>
        <v>#REF!</v>
      </c>
    </row>
    <row r="268" spans="1:14" ht="25.5" x14ac:dyDescent="0.2">
      <c r="A268" s="1517" t="s">
        <v>1310</v>
      </c>
      <c r="B268" s="895" t="s">
        <v>282</v>
      </c>
      <c r="C268" s="68">
        <v>92871</v>
      </c>
      <c r="D268" s="866" t="s">
        <v>716</v>
      </c>
      <c r="E268" s="68" t="s">
        <v>220</v>
      </c>
      <c r="F268" s="322">
        <f>'INS. LÓG. 12'!D45</f>
        <v>11</v>
      </c>
      <c r="G268" s="162">
        <v>15.6</v>
      </c>
      <c r="H268" s="162">
        <f t="shared" si="65"/>
        <v>20.100000000000001</v>
      </c>
      <c r="I268" s="960">
        <f t="shared" si="66"/>
        <v>221.1</v>
      </c>
      <c r="J268" s="109"/>
      <c r="K268" s="751">
        <f t="shared" si="67"/>
        <v>5.9290652585664946E-5</v>
      </c>
    </row>
    <row r="269" spans="1:14" x14ac:dyDescent="0.2">
      <c r="A269" s="1517" t="s">
        <v>1311</v>
      </c>
      <c r="B269" s="895" t="s">
        <v>621</v>
      </c>
      <c r="C269" s="68">
        <v>180679</v>
      </c>
      <c r="D269" s="866" t="s">
        <v>717</v>
      </c>
      <c r="E269" s="68" t="s">
        <v>220</v>
      </c>
      <c r="F269" s="322">
        <f>'INS. LÓG. 12'!D49</f>
        <v>2</v>
      </c>
      <c r="G269" s="162">
        <v>397.99</v>
      </c>
      <c r="H269" s="162">
        <f t="shared" si="65"/>
        <v>512.69000000000005</v>
      </c>
      <c r="I269" s="960">
        <f t="shared" si="66"/>
        <v>1025.3800000000001</v>
      </c>
      <c r="J269" s="109"/>
      <c r="K269" s="751">
        <f t="shared" si="67"/>
        <v>2.7496811102799246E-4</v>
      </c>
    </row>
    <row r="270" spans="1:14" x14ac:dyDescent="0.2">
      <c r="A270" s="1517" t="s">
        <v>1312</v>
      </c>
      <c r="B270" s="895" t="s">
        <v>621</v>
      </c>
      <c r="C270" s="68">
        <v>170879</v>
      </c>
      <c r="D270" s="866" t="s">
        <v>718</v>
      </c>
      <c r="E270" s="68" t="s">
        <v>220</v>
      </c>
      <c r="F270" s="322">
        <f>'INS. LÓG. 12'!D53</f>
        <v>2</v>
      </c>
      <c r="G270" s="162">
        <v>228.16</v>
      </c>
      <c r="H270" s="162">
        <f t="shared" si="65"/>
        <v>293.92</v>
      </c>
      <c r="I270" s="960">
        <f t="shared" si="66"/>
        <v>587.84</v>
      </c>
      <c r="J270" s="109"/>
      <c r="K270" s="751">
        <f t="shared" si="67"/>
        <v>1.5763644150138979E-4</v>
      </c>
    </row>
    <row r="271" spans="1:14" x14ac:dyDescent="0.2">
      <c r="A271" s="1517" t="s">
        <v>1313</v>
      </c>
      <c r="B271" s="895" t="s">
        <v>621</v>
      </c>
      <c r="C271" s="68">
        <v>180678</v>
      </c>
      <c r="D271" s="866" t="s">
        <v>719</v>
      </c>
      <c r="E271" s="68" t="s">
        <v>220</v>
      </c>
      <c r="F271" s="322">
        <f>'INS. LÓG. 12'!D57</f>
        <v>1</v>
      </c>
      <c r="G271" s="162">
        <v>531.66999999999996</v>
      </c>
      <c r="H271" s="162">
        <f t="shared" si="65"/>
        <v>684.9</v>
      </c>
      <c r="I271" s="960">
        <f t="shared" si="66"/>
        <v>684.9</v>
      </c>
      <c r="J271" s="109"/>
      <c r="K271" s="751">
        <f t="shared" si="67"/>
        <v>1.8366426031624569E-4</v>
      </c>
    </row>
    <row r="272" spans="1:14" ht="38.25" x14ac:dyDescent="0.2">
      <c r="A272" s="1517" t="s">
        <v>1314</v>
      </c>
      <c r="B272" s="895" t="s">
        <v>282</v>
      </c>
      <c r="C272" s="68">
        <v>95781</v>
      </c>
      <c r="D272" s="866" t="s">
        <v>720</v>
      </c>
      <c r="E272" s="68" t="s">
        <v>220</v>
      </c>
      <c r="F272" s="322">
        <f>'INS. LÓG. 12'!D61</f>
        <v>2</v>
      </c>
      <c r="G272" s="162">
        <v>28.62</v>
      </c>
      <c r="H272" s="162">
        <f t="shared" si="65"/>
        <v>36.869999999999997</v>
      </c>
      <c r="I272" s="960">
        <f t="shared" si="66"/>
        <v>73.739999999999995</v>
      </c>
      <c r="J272" s="109"/>
      <c r="K272" s="751">
        <f t="shared" si="67"/>
        <v>1.977427734810915E-5</v>
      </c>
    </row>
    <row r="273" spans="1:11" ht="38.25" x14ac:dyDescent="0.2">
      <c r="A273" s="1517" t="s">
        <v>1315</v>
      </c>
      <c r="B273" s="895" t="s">
        <v>282</v>
      </c>
      <c r="C273" s="68">
        <v>95778</v>
      </c>
      <c r="D273" s="866" t="s">
        <v>721</v>
      </c>
      <c r="E273" s="68" t="s">
        <v>220</v>
      </c>
      <c r="F273" s="322">
        <f>'INS. LÓG. 12'!D65</f>
        <v>20</v>
      </c>
      <c r="G273" s="162">
        <v>25.28</v>
      </c>
      <c r="H273" s="162">
        <f t="shared" si="65"/>
        <v>32.57</v>
      </c>
      <c r="I273" s="960">
        <f t="shared" si="66"/>
        <v>651.4</v>
      </c>
      <c r="J273" s="109"/>
      <c r="K273" s="751">
        <f t="shared" si="67"/>
        <v>1.7468082810629645E-4</v>
      </c>
    </row>
    <row r="274" spans="1:11" x14ac:dyDescent="0.2">
      <c r="A274" s="1517" t="s">
        <v>1316</v>
      </c>
      <c r="B274" s="895" t="s">
        <v>621</v>
      </c>
      <c r="C274" s="68">
        <v>171413</v>
      </c>
      <c r="D274" s="866" t="s">
        <v>705</v>
      </c>
      <c r="E274" s="68" t="s">
        <v>220</v>
      </c>
      <c r="F274" s="322">
        <f>'INS. LÓG. 12'!D69</f>
        <v>4</v>
      </c>
      <c r="G274" s="162">
        <v>4.6900000000000004</v>
      </c>
      <c r="H274" s="162">
        <f t="shared" si="65"/>
        <v>6.04</v>
      </c>
      <c r="I274" s="960">
        <f t="shared" si="66"/>
        <v>24.16</v>
      </c>
      <c r="J274" s="109"/>
      <c r="K274" s="751">
        <f t="shared" si="67"/>
        <v>6.4787976773842832E-6</v>
      </c>
    </row>
    <row r="275" spans="1:11" x14ac:dyDescent="0.2">
      <c r="A275" s="1517" t="s">
        <v>1317</v>
      </c>
      <c r="B275" s="895" t="s">
        <v>621</v>
      </c>
      <c r="C275" s="68">
        <v>171415</v>
      </c>
      <c r="D275" s="866" t="s">
        <v>692</v>
      </c>
      <c r="E275" s="68" t="s">
        <v>220</v>
      </c>
      <c r="F275" s="322">
        <f>'INS. LÓG. 12'!D73</f>
        <v>50</v>
      </c>
      <c r="G275" s="162">
        <v>3.86</v>
      </c>
      <c r="H275" s="162">
        <f t="shared" si="65"/>
        <v>4.97</v>
      </c>
      <c r="I275" s="960">
        <f t="shared" si="66"/>
        <v>248.5</v>
      </c>
      <c r="J275" s="109"/>
      <c r="K275" s="751">
        <f t="shared" si="67"/>
        <v>6.6638295646936858E-5</v>
      </c>
    </row>
    <row r="276" spans="1:11" x14ac:dyDescent="0.2">
      <c r="A276" s="1517" t="s">
        <v>1318</v>
      </c>
      <c r="B276" s="895" t="s">
        <v>621</v>
      </c>
      <c r="C276" s="68">
        <v>170930</v>
      </c>
      <c r="D276" s="866" t="s">
        <v>693</v>
      </c>
      <c r="E276" s="68" t="s">
        <v>220</v>
      </c>
      <c r="F276" s="322">
        <f>'INS. LÓG. 12'!D77</f>
        <v>40</v>
      </c>
      <c r="G276" s="162">
        <v>65.41</v>
      </c>
      <c r="H276" s="162">
        <f t="shared" si="65"/>
        <v>84.26</v>
      </c>
      <c r="I276" s="960">
        <f t="shared" si="66"/>
        <v>3370.4</v>
      </c>
      <c r="J276" s="109"/>
      <c r="K276" s="751">
        <f t="shared" si="67"/>
        <v>9.0381372896754925E-4</v>
      </c>
    </row>
    <row r="277" spans="1:11" x14ac:dyDescent="0.2">
      <c r="A277" s="1517" t="s">
        <v>1319</v>
      </c>
      <c r="B277" s="895" t="s">
        <v>621</v>
      </c>
      <c r="C277" s="68">
        <v>171068</v>
      </c>
      <c r="D277" s="866" t="s">
        <v>694</v>
      </c>
      <c r="E277" s="68" t="s">
        <v>220</v>
      </c>
      <c r="F277" s="322">
        <f>'INS. LÓG. 12'!D81</f>
        <v>120</v>
      </c>
      <c r="G277" s="162">
        <v>40.130000000000003</v>
      </c>
      <c r="H277" s="162">
        <f t="shared" si="65"/>
        <v>51.7</v>
      </c>
      <c r="I277" s="960">
        <f t="shared" si="66"/>
        <v>6204</v>
      </c>
      <c r="J277" s="109"/>
      <c r="K277" s="751">
        <f t="shared" si="67"/>
        <v>1.663678012851494E-3</v>
      </c>
    </row>
    <row r="278" spans="1:11" x14ac:dyDescent="0.2">
      <c r="A278" s="1517" t="s">
        <v>1320</v>
      </c>
      <c r="B278" s="895" t="s">
        <v>621</v>
      </c>
      <c r="C278" s="68">
        <v>171022</v>
      </c>
      <c r="D278" s="866" t="s">
        <v>722</v>
      </c>
      <c r="E278" s="68" t="s">
        <v>214</v>
      </c>
      <c r="F278" s="322">
        <f>'INS. LÓG. 12'!D85</f>
        <v>6</v>
      </c>
      <c r="G278" s="162">
        <v>117.21</v>
      </c>
      <c r="H278" s="162">
        <f t="shared" si="65"/>
        <v>150.99</v>
      </c>
      <c r="I278" s="960">
        <f t="shared" si="66"/>
        <v>905.94</v>
      </c>
      <c r="J278" s="109"/>
      <c r="K278" s="751">
        <f t="shared" si="67"/>
        <v>2.4293882317257939E-4</v>
      </c>
    </row>
    <row r="279" spans="1:11" ht="25.5" x14ac:dyDescent="0.2">
      <c r="A279" s="1517" t="s">
        <v>1321</v>
      </c>
      <c r="B279" s="1824" t="str">
        <f>COMPOSIÇÕES!G841</f>
        <v>COMPOSIÇÃO 79</v>
      </c>
      <c r="C279" s="1825"/>
      <c r="D279" s="1277" t="str">
        <f>COMPOSIÇÕES!C840</f>
        <v>FORNECIMENTO E INSTALAÇÃO DE ELETROCALHA COM CONEXÕES E SUPORTE DE FIXAÇÃO</v>
      </c>
      <c r="E279" s="68" t="s">
        <v>214</v>
      </c>
      <c r="F279" s="322">
        <f>'INS. LÓG. 12'!D89</f>
        <v>60</v>
      </c>
      <c r="G279" s="162">
        <f>COMPOSIÇÕES!M853</f>
        <v>268.02</v>
      </c>
      <c r="H279" s="162">
        <f t="shared" si="65"/>
        <v>345.26</v>
      </c>
      <c r="I279" s="960">
        <f t="shared" si="66"/>
        <v>20715.599999999999</v>
      </c>
      <c r="J279" s="109"/>
      <c r="K279" s="751">
        <f t="shared" si="67"/>
        <v>5.5551399489081896E-3</v>
      </c>
    </row>
    <row r="280" spans="1:11" x14ac:dyDescent="0.2">
      <c r="A280" s="1517" t="s">
        <v>1322</v>
      </c>
      <c r="B280" s="895" t="s">
        <v>621</v>
      </c>
      <c r="C280" s="68">
        <v>170630</v>
      </c>
      <c r="D280" s="866" t="s">
        <v>695</v>
      </c>
      <c r="E280" s="68" t="s">
        <v>214</v>
      </c>
      <c r="F280" s="322">
        <f>'INS. LÓG. 12'!D93</f>
        <v>60</v>
      </c>
      <c r="G280" s="162">
        <v>28.55</v>
      </c>
      <c r="H280" s="162">
        <f t="shared" si="65"/>
        <v>36.78</v>
      </c>
      <c r="I280" s="960">
        <f t="shared" si="66"/>
        <v>2206.8000000000002</v>
      </c>
      <c r="J280" s="109"/>
      <c r="K280" s="751">
        <f t="shared" si="67"/>
        <v>5.9178024480346187E-4</v>
      </c>
    </row>
    <row r="281" spans="1:11" x14ac:dyDescent="0.2">
      <c r="A281" s="1517" t="s">
        <v>1323</v>
      </c>
      <c r="B281" s="895" t="s">
        <v>621</v>
      </c>
      <c r="C281" s="68">
        <v>170078</v>
      </c>
      <c r="D281" s="866" t="s">
        <v>723</v>
      </c>
      <c r="E281" s="68" t="s">
        <v>214</v>
      </c>
      <c r="F281" s="322">
        <f>'INS. LÓG. 12'!D97</f>
        <v>90</v>
      </c>
      <c r="G281" s="162">
        <v>11.94</v>
      </c>
      <c r="H281" s="162">
        <f t="shared" si="65"/>
        <v>15.38</v>
      </c>
      <c r="I281" s="960">
        <f t="shared" si="66"/>
        <v>1384.2</v>
      </c>
      <c r="J281" s="109"/>
      <c r="K281" s="751">
        <f t="shared" si="67"/>
        <v>3.7119005567199195E-4</v>
      </c>
    </row>
    <row r="282" spans="1:11" x14ac:dyDescent="0.2">
      <c r="A282" s="1517" t="s">
        <v>1324</v>
      </c>
      <c r="B282" s="895" t="s">
        <v>621</v>
      </c>
      <c r="C282" s="68">
        <v>170076</v>
      </c>
      <c r="D282" s="866" t="s">
        <v>724</v>
      </c>
      <c r="E282" s="68" t="s">
        <v>214</v>
      </c>
      <c r="F282" s="322">
        <f>'INS. LÓG. 12'!D101</f>
        <v>840</v>
      </c>
      <c r="G282" s="162">
        <v>10.63</v>
      </c>
      <c r="H282" s="162">
        <f t="shared" si="65"/>
        <v>13.69</v>
      </c>
      <c r="I282" s="960">
        <f t="shared" si="66"/>
        <v>11499.6</v>
      </c>
      <c r="J282" s="109"/>
      <c r="K282" s="751">
        <f t="shared" si="67"/>
        <v>3.0837575236278272E-3</v>
      </c>
    </row>
    <row r="283" spans="1:11" x14ac:dyDescent="0.2">
      <c r="A283" s="1517" t="s">
        <v>1325</v>
      </c>
      <c r="B283" s="895" t="s">
        <v>621</v>
      </c>
      <c r="C283" s="68">
        <v>171264</v>
      </c>
      <c r="D283" s="866" t="s">
        <v>726</v>
      </c>
      <c r="E283" s="68" t="s">
        <v>220</v>
      </c>
      <c r="F283" s="322">
        <f>'INS. LÓG. 12'!D105</f>
        <v>1</v>
      </c>
      <c r="G283" s="162">
        <v>70.31</v>
      </c>
      <c r="H283" s="162">
        <f t="shared" si="65"/>
        <v>90.57</v>
      </c>
      <c r="I283" s="960">
        <f t="shared" si="66"/>
        <v>90.57</v>
      </c>
      <c r="J283" s="109"/>
      <c r="K283" s="751">
        <f t="shared" si="67"/>
        <v>2.4287446425525436E-5</v>
      </c>
    </row>
    <row r="284" spans="1:11" ht="25.5" x14ac:dyDescent="0.2">
      <c r="A284" s="1517" t="s">
        <v>1326</v>
      </c>
      <c r="B284" s="895" t="s">
        <v>282</v>
      </c>
      <c r="C284" s="68">
        <v>93024</v>
      </c>
      <c r="D284" s="866" t="s">
        <v>725</v>
      </c>
      <c r="E284" s="68" t="s">
        <v>220</v>
      </c>
      <c r="F284" s="322">
        <f>'INS. LÓG. 12'!D109</f>
        <v>3</v>
      </c>
      <c r="G284" s="162">
        <v>49.29</v>
      </c>
      <c r="H284" s="162">
        <f t="shared" si="65"/>
        <v>63.5</v>
      </c>
      <c r="I284" s="960">
        <f t="shared" si="66"/>
        <v>190.5</v>
      </c>
      <c r="J284" s="109"/>
      <c r="K284" s="751">
        <f t="shared" si="67"/>
        <v>5.1084890626726246E-5</v>
      </c>
    </row>
    <row r="285" spans="1:11" x14ac:dyDescent="0.2">
      <c r="A285" s="1517" t="s">
        <v>1327</v>
      </c>
      <c r="B285" s="895" t="s">
        <v>621</v>
      </c>
      <c r="C285" s="68">
        <v>171268</v>
      </c>
      <c r="D285" s="866" t="s">
        <v>696</v>
      </c>
      <c r="E285" s="68" t="s">
        <v>220</v>
      </c>
      <c r="F285" s="322">
        <f>'INS. LÓG. 12'!D113</f>
        <v>8</v>
      </c>
      <c r="G285" s="162">
        <v>24.59</v>
      </c>
      <c r="H285" s="162">
        <f t="shared" si="65"/>
        <v>31.68</v>
      </c>
      <c r="I285" s="960">
        <f t="shared" si="66"/>
        <v>253.44</v>
      </c>
      <c r="J285" s="109"/>
      <c r="K285" s="751">
        <f t="shared" si="67"/>
        <v>6.7963016695209966E-5</v>
      </c>
    </row>
    <row r="286" spans="1:11" x14ac:dyDescent="0.2">
      <c r="A286" s="1517" t="s">
        <v>1328</v>
      </c>
      <c r="B286" s="895" t="s">
        <v>621</v>
      </c>
      <c r="C286" s="68">
        <v>171025</v>
      </c>
      <c r="D286" s="866" t="s">
        <v>697</v>
      </c>
      <c r="E286" s="68" t="s">
        <v>220</v>
      </c>
      <c r="F286" s="322">
        <f>'INS. LÓG. 12'!D117</f>
        <v>8</v>
      </c>
      <c r="G286" s="162">
        <v>16.489999999999998</v>
      </c>
      <c r="H286" s="162">
        <f t="shared" si="65"/>
        <v>21.24</v>
      </c>
      <c r="I286" s="960">
        <f t="shared" si="66"/>
        <v>169.92</v>
      </c>
      <c r="J286" s="109"/>
      <c r="K286" s="751">
        <f t="shared" si="67"/>
        <v>4.5566113466106679E-5</v>
      </c>
    </row>
    <row r="287" spans="1:11" ht="38.25" x14ac:dyDescent="0.2">
      <c r="A287" s="1517" t="s">
        <v>1329</v>
      </c>
      <c r="B287" s="895" t="s">
        <v>282</v>
      </c>
      <c r="C287" s="68">
        <v>91890</v>
      </c>
      <c r="D287" s="866" t="s">
        <v>727</v>
      </c>
      <c r="E287" s="68" t="s">
        <v>220</v>
      </c>
      <c r="F287" s="322">
        <f>'INS. LÓG. 12'!D121</f>
        <v>120</v>
      </c>
      <c r="G287" s="162">
        <v>9.67</v>
      </c>
      <c r="H287" s="162">
        <f t="shared" si="65"/>
        <v>12.46</v>
      </c>
      <c r="I287" s="960">
        <f t="shared" si="66"/>
        <v>1495.2</v>
      </c>
      <c r="J287" s="109"/>
      <c r="K287" s="751">
        <f t="shared" si="67"/>
        <v>4.0095605493480882E-4</v>
      </c>
    </row>
    <row r="288" spans="1:11" x14ac:dyDescent="0.2">
      <c r="A288" s="1517" t="s">
        <v>1330</v>
      </c>
      <c r="B288" s="895" t="s">
        <v>621</v>
      </c>
      <c r="C288" s="68">
        <v>171342</v>
      </c>
      <c r="D288" s="866" t="s">
        <v>728</v>
      </c>
      <c r="E288" s="68" t="s">
        <v>220</v>
      </c>
      <c r="F288" s="322">
        <f>'INS. LÓG. 12'!D125</f>
        <v>2</v>
      </c>
      <c r="G288" s="162">
        <v>35.090000000000003</v>
      </c>
      <c r="H288" s="162">
        <f t="shared" si="65"/>
        <v>45.2</v>
      </c>
      <c r="I288" s="960">
        <f t="shared" si="66"/>
        <v>90.4</v>
      </c>
      <c r="J288" s="109"/>
      <c r="K288" s="751">
        <f t="shared" si="67"/>
        <v>2.4241858859086891E-5</v>
      </c>
    </row>
    <row r="289" spans="1:13" ht="25.5" x14ac:dyDescent="0.2">
      <c r="A289" s="1517" t="s">
        <v>1331</v>
      </c>
      <c r="B289" s="895" t="s">
        <v>282</v>
      </c>
      <c r="C289" s="68">
        <v>93016</v>
      </c>
      <c r="D289" s="866" t="s">
        <v>729</v>
      </c>
      <c r="E289" s="68" t="s">
        <v>220</v>
      </c>
      <c r="F289" s="322">
        <f>'INS. LÓG. 12'!D129</f>
        <v>16</v>
      </c>
      <c r="G289" s="162">
        <v>32.369999999999997</v>
      </c>
      <c r="H289" s="162">
        <f t="shared" si="65"/>
        <v>41.7</v>
      </c>
      <c r="I289" s="960">
        <f t="shared" si="66"/>
        <v>667.2</v>
      </c>
      <c r="J289" s="109"/>
      <c r="K289" s="751">
        <f t="shared" si="67"/>
        <v>1.7891779016352625E-4</v>
      </c>
    </row>
    <row r="290" spans="1:13" ht="25.5" x14ac:dyDescent="0.2">
      <c r="A290" s="1517" t="s">
        <v>1332</v>
      </c>
      <c r="B290" s="895" t="s">
        <v>282</v>
      </c>
      <c r="C290" s="68">
        <v>93014</v>
      </c>
      <c r="D290" s="866" t="s">
        <v>698</v>
      </c>
      <c r="E290" s="68" t="s">
        <v>220</v>
      </c>
      <c r="F290" s="322">
        <f>'INS. LÓG. 12'!D133</f>
        <v>16</v>
      </c>
      <c r="G290" s="162">
        <v>16.47</v>
      </c>
      <c r="H290" s="162">
        <f t="shared" si="65"/>
        <v>21.22</v>
      </c>
      <c r="I290" s="960">
        <f t="shared" si="66"/>
        <v>339.52</v>
      </c>
      <c r="J290" s="109"/>
      <c r="K290" s="751">
        <f t="shared" si="67"/>
        <v>9.1046415042446682E-5</v>
      </c>
    </row>
    <row r="291" spans="1:13" ht="38.25" x14ac:dyDescent="0.2">
      <c r="A291" s="1517" t="s">
        <v>1333</v>
      </c>
      <c r="B291" s="895" t="s">
        <v>282</v>
      </c>
      <c r="C291" s="68">
        <v>95738</v>
      </c>
      <c r="D291" s="866" t="s">
        <v>699</v>
      </c>
      <c r="E291" s="68" t="s">
        <v>220</v>
      </c>
      <c r="F291" s="322">
        <f>'INS. LÓG. 12'!D137</f>
        <v>25</v>
      </c>
      <c r="G291" s="162">
        <v>8.15</v>
      </c>
      <c r="H291" s="162">
        <f t="shared" si="65"/>
        <v>10.5</v>
      </c>
      <c r="I291" s="960">
        <f t="shared" si="66"/>
        <v>262.5</v>
      </c>
      <c r="J291" s="109"/>
      <c r="K291" s="751">
        <f t="shared" si="67"/>
        <v>7.0392565824229077E-5</v>
      </c>
    </row>
    <row r="292" spans="1:13" ht="38.25" x14ac:dyDescent="0.2">
      <c r="A292" s="1517" t="s">
        <v>1334</v>
      </c>
      <c r="B292" s="895" t="s">
        <v>282</v>
      </c>
      <c r="C292" s="68">
        <v>95733</v>
      </c>
      <c r="D292" s="866" t="s">
        <v>730</v>
      </c>
      <c r="E292" s="68" t="s">
        <v>220</v>
      </c>
      <c r="F292" s="322">
        <f>'INS. LÓG. 12'!D141</f>
        <v>110</v>
      </c>
      <c r="G292" s="162">
        <v>5.17</v>
      </c>
      <c r="H292" s="162">
        <f t="shared" si="65"/>
        <v>6.66</v>
      </c>
      <c r="I292" s="960">
        <f t="shared" si="66"/>
        <v>732.6</v>
      </c>
      <c r="J292" s="109"/>
      <c r="K292" s="751">
        <f t="shared" si="67"/>
        <v>1.9645559513459132E-4</v>
      </c>
    </row>
    <row r="293" spans="1:13" x14ac:dyDescent="0.2">
      <c r="A293" s="1517" t="s">
        <v>1335</v>
      </c>
      <c r="B293" s="895" t="s">
        <v>621</v>
      </c>
      <c r="C293" s="68">
        <v>171180</v>
      </c>
      <c r="D293" s="866" t="s">
        <v>731</v>
      </c>
      <c r="E293" s="68" t="s">
        <v>214</v>
      </c>
      <c r="F293" s="322">
        <f>'INS. LÓG. 12'!D146</f>
        <v>3000</v>
      </c>
      <c r="G293" s="162">
        <v>6.01</v>
      </c>
      <c r="H293" s="162">
        <f t="shared" si="65"/>
        <v>7.74</v>
      </c>
      <c r="I293" s="960">
        <f t="shared" si="66"/>
        <v>23220</v>
      </c>
      <c r="J293" s="109"/>
      <c r="K293" s="751">
        <f t="shared" si="67"/>
        <v>6.226725251194663E-3</v>
      </c>
    </row>
    <row r="294" spans="1:13" ht="25.5" x14ac:dyDescent="0.2">
      <c r="A294" s="1517" t="s">
        <v>1336</v>
      </c>
      <c r="B294" s="895" t="s">
        <v>282</v>
      </c>
      <c r="C294" s="68">
        <v>98261</v>
      </c>
      <c r="D294" s="866" t="s">
        <v>732</v>
      </c>
      <c r="E294" s="68" t="s">
        <v>214</v>
      </c>
      <c r="F294" s="322">
        <f>'INS. LÓG. 12'!D150</f>
        <v>30</v>
      </c>
      <c r="G294" s="162">
        <v>3.31</v>
      </c>
      <c r="H294" s="162">
        <f t="shared" si="65"/>
        <v>4.26</v>
      </c>
      <c r="I294" s="960">
        <f t="shared" si="66"/>
        <v>127.8</v>
      </c>
      <c r="J294" s="109"/>
      <c r="K294" s="751">
        <f t="shared" si="67"/>
        <v>3.4271123475567523E-5</v>
      </c>
    </row>
    <row r="295" spans="1:13" x14ac:dyDescent="0.2">
      <c r="A295" s="1517" t="s">
        <v>1337</v>
      </c>
      <c r="B295" s="1255" t="s">
        <v>621</v>
      </c>
      <c r="C295" s="68">
        <v>171525</v>
      </c>
      <c r="D295" s="866" t="s">
        <v>1276</v>
      </c>
      <c r="E295" s="68" t="s">
        <v>220</v>
      </c>
      <c r="F295" s="322">
        <f>'INS. LÓG. 12'!D154</f>
        <v>1</v>
      </c>
      <c r="G295" s="162">
        <v>3328.44</v>
      </c>
      <c r="H295" s="162">
        <f t="shared" ref="H295" si="68">ROUND((G295*$K$11),2)</f>
        <v>4287.7</v>
      </c>
      <c r="I295" s="960">
        <f t="shared" ref="I295" si="69">ROUND(((F295*H295)),2)</f>
        <v>4287.7</v>
      </c>
      <c r="J295" s="109"/>
      <c r="K295" s="751"/>
    </row>
    <row r="296" spans="1:13" x14ac:dyDescent="0.2">
      <c r="A296" s="1517" t="s">
        <v>1338</v>
      </c>
      <c r="B296" s="895" t="s">
        <v>621</v>
      </c>
      <c r="C296" s="68">
        <v>171192</v>
      </c>
      <c r="D296" s="866" t="s">
        <v>733</v>
      </c>
      <c r="E296" s="68" t="s">
        <v>220</v>
      </c>
      <c r="F296" s="322">
        <f>'INS. LÓG. 12'!D158</f>
        <v>5</v>
      </c>
      <c r="G296" s="162">
        <v>1177.48</v>
      </c>
      <c r="H296" s="162">
        <f t="shared" ref="H296:H297" si="70">ROUND((G296*$K$11),2)</f>
        <v>1516.83</v>
      </c>
      <c r="I296" s="960">
        <f>ROUND(((F296*H296)),2)</f>
        <v>7584.15</v>
      </c>
      <c r="J296" s="109"/>
      <c r="K296" s="751">
        <f>I296/$I$488</f>
        <v>2.0337820117936264E-3</v>
      </c>
    </row>
    <row r="297" spans="1:13" x14ac:dyDescent="0.2">
      <c r="A297" s="1517" t="s">
        <v>1339</v>
      </c>
      <c r="B297" s="15" t="s">
        <v>621</v>
      </c>
      <c r="C297" s="1178">
        <v>171190</v>
      </c>
      <c r="D297" s="1083" t="s">
        <v>734</v>
      </c>
      <c r="E297" s="1178" t="s">
        <v>220</v>
      </c>
      <c r="F297" s="867">
        <f>'INS. LÓG. 12'!D162</f>
        <v>120</v>
      </c>
      <c r="G297" s="323">
        <v>55.05</v>
      </c>
      <c r="H297" s="323">
        <f t="shared" si="70"/>
        <v>70.92</v>
      </c>
      <c r="I297" s="1084">
        <f>ROUND(((F297*H297)),2)</f>
        <v>8510.4</v>
      </c>
      <c r="J297" s="109"/>
      <c r="K297" s="751">
        <f>I297/$I$488</f>
        <v>2.2821672083448348E-3</v>
      </c>
    </row>
    <row r="298" spans="1:13" s="109" customFormat="1" x14ac:dyDescent="0.2">
      <c r="A298" s="1830" t="s">
        <v>712</v>
      </c>
      <c r="B298" s="1830"/>
      <c r="C298" s="1830"/>
      <c r="D298" s="1830"/>
      <c r="E298" s="1830"/>
      <c r="F298" s="1830"/>
      <c r="G298" s="1830"/>
      <c r="H298" s="1830"/>
      <c r="I298" s="1127">
        <f>SUM(I261:I297)</f>
        <v>108267.26999999997</v>
      </c>
      <c r="K298" s="751"/>
    </row>
    <row r="299" spans="1:13" s="109" customFormat="1" ht="13.5" thickBot="1" x14ac:dyDescent="0.25">
      <c r="A299" s="1128"/>
      <c r="B299" s="1128"/>
      <c r="C299" s="1128"/>
      <c r="D299" s="1128"/>
      <c r="E299" s="1128"/>
      <c r="F299" s="1128"/>
      <c r="G299" s="1128"/>
      <c r="H299" s="1128"/>
      <c r="I299" s="1128"/>
      <c r="J299" s="1128"/>
      <c r="K299" s="751"/>
    </row>
    <row r="300" spans="1:13" s="109" customFormat="1" ht="13.5" thickBot="1" x14ac:dyDescent="0.25">
      <c r="A300" s="1080">
        <v>13</v>
      </c>
      <c r="B300" s="1081"/>
      <c r="C300" s="1081"/>
      <c r="D300" s="1082" t="s">
        <v>685</v>
      </c>
      <c r="E300" s="1082"/>
      <c r="F300" s="1082"/>
      <c r="G300" s="1082"/>
      <c r="H300" s="1082"/>
      <c r="I300" s="918"/>
      <c r="J300" s="94">
        <f>I314/$I$488</f>
        <v>1.7759950500698566E-2</v>
      </c>
      <c r="K300" s="751"/>
    </row>
    <row r="301" spans="1:13" s="109" customFormat="1" x14ac:dyDescent="0.2">
      <c r="A301" s="1242" t="s">
        <v>31</v>
      </c>
      <c r="B301" s="625"/>
      <c r="C301" s="961"/>
      <c r="D301" s="974" t="s">
        <v>686</v>
      </c>
      <c r="E301" s="68"/>
      <c r="F301" s="322"/>
      <c r="G301" s="319"/>
      <c r="H301" s="162"/>
      <c r="I301" s="162"/>
      <c r="K301" s="751"/>
    </row>
    <row r="302" spans="1:13" s="109" customFormat="1" ht="51" x14ac:dyDescent="0.2">
      <c r="A302" s="958" t="s">
        <v>326</v>
      </c>
      <c r="B302" s="426" t="s">
        <v>282</v>
      </c>
      <c r="C302" s="857">
        <v>97327</v>
      </c>
      <c r="D302" s="1551" t="s">
        <v>735</v>
      </c>
      <c r="E302" s="68" t="s">
        <v>17</v>
      </c>
      <c r="F302" s="322">
        <f>'INS. AR. 13'!D17</f>
        <v>15</v>
      </c>
      <c r="G302" s="319">
        <v>34.08</v>
      </c>
      <c r="H302" s="313">
        <f t="shared" ref="H302:H312" si="71">ROUND((G302*$K$11),2)</f>
        <v>43.9</v>
      </c>
      <c r="I302" s="313">
        <f t="shared" ref="I302:I312" si="72">ROUND(((F302*H302)),2)</f>
        <v>658.5</v>
      </c>
      <c r="K302" s="751">
        <f t="shared" ref="K302:K312" si="73">I302/$I$488</f>
        <v>1.7658477941049464E-4</v>
      </c>
      <c r="M302" s="195"/>
    </row>
    <row r="303" spans="1:13" s="109" customFormat="1" ht="51" x14ac:dyDescent="0.2">
      <c r="A303" s="958" t="s">
        <v>327</v>
      </c>
      <c r="B303" s="426" t="s">
        <v>282</v>
      </c>
      <c r="C303" s="857">
        <v>97330</v>
      </c>
      <c r="D303" s="1551" t="s">
        <v>736</v>
      </c>
      <c r="E303" s="68" t="s">
        <v>214</v>
      </c>
      <c r="F303" s="322">
        <f>'INS. AR. 13'!D21</f>
        <v>110</v>
      </c>
      <c r="G303" s="319">
        <v>92.37</v>
      </c>
      <c r="H303" s="313">
        <f t="shared" si="71"/>
        <v>118.99</v>
      </c>
      <c r="I303" s="313">
        <f t="shared" si="72"/>
        <v>13088.9</v>
      </c>
      <c r="K303" s="751">
        <f t="shared" si="73"/>
        <v>3.5099476373971501E-3</v>
      </c>
    </row>
    <row r="304" spans="1:13" s="109" customFormat="1" ht="51" x14ac:dyDescent="0.2">
      <c r="A304" s="958" t="s">
        <v>1288</v>
      </c>
      <c r="B304" s="426" t="s">
        <v>282</v>
      </c>
      <c r="C304" s="857">
        <v>97329</v>
      </c>
      <c r="D304" s="1551" t="s">
        <v>737</v>
      </c>
      <c r="E304" s="68" t="s">
        <v>214</v>
      </c>
      <c r="F304" s="322">
        <f>'INS. AR. 13'!D25</f>
        <v>94</v>
      </c>
      <c r="G304" s="319">
        <v>75.63</v>
      </c>
      <c r="H304" s="313">
        <f t="shared" si="71"/>
        <v>97.43</v>
      </c>
      <c r="I304" s="313">
        <f t="shared" si="72"/>
        <v>9158.42</v>
      </c>
      <c r="K304" s="751">
        <f t="shared" si="73"/>
        <v>2.4559416483654708E-3</v>
      </c>
    </row>
    <row r="305" spans="1:11" s="109" customFormat="1" ht="51" x14ac:dyDescent="0.2">
      <c r="A305" s="958" t="s">
        <v>1289</v>
      </c>
      <c r="B305" s="426" t="s">
        <v>282</v>
      </c>
      <c r="C305" s="857">
        <v>97328</v>
      </c>
      <c r="D305" s="1551" t="s">
        <v>738</v>
      </c>
      <c r="E305" s="1179" t="s">
        <v>214</v>
      </c>
      <c r="F305" s="322">
        <f>'INS. AR. 13'!D29</f>
        <v>200</v>
      </c>
      <c r="G305" s="319">
        <v>60.61</v>
      </c>
      <c r="H305" s="313">
        <f t="shared" si="71"/>
        <v>78.08</v>
      </c>
      <c r="I305" s="313">
        <f t="shared" si="72"/>
        <v>15616</v>
      </c>
      <c r="K305" s="751">
        <f t="shared" si="73"/>
        <v>4.1876202206139477E-3</v>
      </c>
    </row>
    <row r="306" spans="1:11" s="109" customFormat="1" ht="51" x14ac:dyDescent="0.2">
      <c r="A306" s="958" t="s">
        <v>1290</v>
      </c>
      <c r="B306" s="426" t="s">
        <v>282</v>
      </c>
      <c r="C306" s="857">
        <v>97327</v>
      </c>
      <c r="D306" s="1551" t="s">
        <v>735</v>
      </c>
      <c r="E306" s="1179" t="s">
        <v>214</v>
      </c>
      <c r="F306" s="322">
        <f>'INS. AR. 13'!D33</f>
        <v>130</v>
      </c>
      <c r="G306" s="319">
        <v>34.08</v>
      </c>
      <c r="H306" s="313">
        <f t="shared" si="71"/>
        <v>43.9</v>
      </c>
      <c r="I306" s="313">
        <f t="shared" si="72"/>
        <v>5707</v>
      </c>
      <c r="K306" s="751">
        <f t="shared" si="73"/>
        <v>1.5304014215576202E-3</v>
      </c>
    </row>
    <row r="307" spans="1:11" s="109" customFormat="1" ht="38.25" x14ac:dyDescent="0.2">
      <c r="A307" s="958" t="s">
        <v>1291</v>
      </c>
      <c r="B307" s="1826" t="str">
        <f>COMPOSIÇÕES!A613</f>
        <v>COMPOSIÇÃO 57</v>
      </c>
      <c r="C307" s="1825"/>
      <c r="D307" s="906" t="str">
        <f>COMPOSIÇÕES!C612</f>
        <v>FORNECIMENTO E INSTALAÇÃO DE TUBO DE ESPUMA DE POLIETILENO EXPANDIDO FLEXIVEL PARA ISOLAMENTO TÉRMICO DE TUBULAÇÃO DE AR DN 7/8" E=10MM</v>
      </c>
      <c r="E307" s="1179" t="s">
        <v>214</v>
      </c>
      <c r="F307" s="322">
        <f>'INS. AR. 13'!D37</f>
        <v>70</v>
      </c>
      <c r="G307" s="319">
        <f>COMPOSIÇÕES!M618</f>
        <v>13.95</v>
      </c>
      <c r="H307" s="313">
        <f t="shared" si="71"/>
        <v>17.97</v>
      </c>
      <c r="I307" s="313">
        <f t="shared" si="72"/>
        <v>1257.9000000000001</v>
      </c>
      <c r="K307" s="751">
        <f t="shared" si="73"/>
        <v>3.3732117542970577E-4</v>
      </c>
    </row>
    <row r="308" spans="1:11" s="109" customFormat="1" ht="38.25" x14ac:dyDescent="0.2">
      <c r="A308" s="958" t="s">
        <v>1292</v>
      </c>
      <c r="B308" s="1824" t="str">
        <f>COMPOSIÇÕES!A622</f>
        <v>COMPOSIÇÃO 58</v>
      </c>
      <c r="C308" s="1825"/>
      <c r="D308" s="906" t="str">
        <f>COMPOSIÇÕES!C621</f>
        <v>FORNECIMENTO E INSTALAÇÃO DE TUBO DE ESPUMA DE POLIETILENO EXPANDIDO FLEXIVEL PARA ISOLAMENTO TÉRMICO DE TUBULAÇÃO DE AR DN 3/4" E=10MM</v>
      </c>
      <c r="E308" s="1179" t="s">
        <v>214</v>
      </c>
      <c r="F308" s="322">
        <f>'INS. AR. 13'!D41</f>
        <v>130</v>
      </c>
      <c r="G308" s="319">
        <f>COMPOSIÇÕES!M627</f>
        <v>13.18</v>
      </c>
      <c r="H308" s="313">
        <f t="shared" si="71"/>
        <v>16.98</v>
      </c>
      <c r="I308" s="313">
        <f t="shared" si="72"/>
        <v>2207.4</v>
      </c>
      <c r="K308" s="751">
        <f t="shared" si="73"/>
        <v>5.9194114209677436E-4</v>
      </c>
    </row>
    <row r="309" spans="1:11" s="109" customFormat="1" ht="38.25" x14ac:dyDescent="0.2">
      <c r="A309" s="958" t="s">
        <v>1293</v>
      </c>
      <c r="B309" s="1826" t="str">
        <f>COMPOSIÇÕES!A631</f>
        <v>COMPOSIÇÃO 59</v>
      </c>
      <c r="C309" s="1825"/>
      <c r="D309" s="906" t="str">
        <f>COMPOSIÇÕES!C630</f>
        <v>FORNECIMENTO E INSTALAÇÃO DE TUBO DE ESPUMA DE POLIETILENO EXPANDIDO FLEXIVEL PARA ISOLAMENTO TÉRMICO DE TUBULAÇÃO DE AR DN 5/8" E=10MM</v>
      </c>
      <c r="E309" s="1179" t="s">
        <v>214</v>
      </c>
      <c r="F309" s="322">
        <f>'INS. AR. 13'!D45</f>
        <v>130</v>
      </c>
      <c r="G309" s="319">
        <f>COMPOSIÇÕES!M636</f>
        <v>16.39</v>
      </c>
      <c r="H309" s="313">
        <f t="shared" si="71"/>
        <v>21.11</v>
      </c>
      <c r="I309" s="313">
        <f t="shared" si="72"/>
        <v>2744.3</v>
      </c>
      <c r="K309" s="751">
        <f t="shared" si="73"/>
        <v>7.3591740339593091E-4</v>
      </c>
    </row>
    <row r="310" spans="1:11" s="109" customFormat="1" ht="38.25" x14ac:dyDescent="0.2">
      <c r="A310" s="958" t="s">
        <v>1294</v>
      </c>
      <c r="B310" s="1824" t="str">
        <f>COMPOSIÇÕES!A640</f>
        <v>COMPOSIÇÃO 60</v>
      </c>
      <c r="C310" s="1825"/>
      <c r="D310" s="906" t="str">
        <f>COMPOSIÇÕES!C639</f>
        <v>FORNECIMENTO E INSTALAÇÃO DE TUBO DE ESPUMA DE POLIETILENO EXPANDIDO FLEXIVEL PARA ISOLAMENTO TÉRMICO DE TUBULAÇÃO DE AR DN 1/2" E=10MM</v>
      </c>
      <c r="E310" s="1179" t="s">
        <v>214</v>
      </c>
      <c r="F310" s="322">
        <f>'INS. AR. 13'!D49</f>
        <v>120</v>
      </c>
      <c r="G310" s="319">
        <f>COMPOSIÇÕES!M645</f>
        <v>12.59</v>
      </c>
      <c r="H310" s="313">
        <f t="shared" si="71"/>
        <v>16.22</v>
      </c>
      <c r="I310" s="313">
        <f t="shared" si="72"/>
        <v>1946.4</v>
      </c>
      <c r="K310" s="751">
        <f t="shared" si="73"/>
        <v>5.2195081950582656E-4</v>
      </c>
    </row>
    <row r="311" spans="1:11" s="109" customFormat="1" ht="38.25" x14ac:dyDescent="0.2">
      <c r="A311" s="958" t="s">
        <v>1295</v>
      </c>
      <c r="B311" s="1824" t="str">
        <f>COMPOSIÇÕES!A649</f>
        <v>COMPOSIÇÃO 61</v>
      </c>
      <c r="C311" s="1825"/>
      <c r="D311" s="906" t="str">
        <f>COMPOSIÇÕES!C648</f>
        <v>FORNECIMENTO E INSTALAÇÃO DE TUBO DE ESPUMA DE POLIETILENO EXPANDIDO FLEXIVEL PARA ISOLAMENTO TÉRMICO DE TUBULAÇÃO DE AR DN 3/8" E=10MM</v>
      </c>
      <c r="E311" s="1179" t="s">
        <v>214</v>
      </c>
      <c r="F311" s="322">
        <f>'INS. AR. 13'!D53</f>
        <v>220</v>
      </c>
      <c r="G311" s="319">
        <f>COMPOSIÇÕES!M654</f>
        <v>12.54</v>
      </c>
      <c r="H311" s="313">
        <f t="shared" si="71"/>
        <v>16.149999999999999</v>
      </c>
      <c r="I311" s="313">
        <f t="shared" si="72"/>
        <v>3553</v>
      </c>
      <c r="K311" s="751">
        <f t="shared" si="73"/>
        <v>9.5278013856566054E-4</v>
      </c>
    </row>
    <row r="312" spans="1:11" s="109" customFormat="1" ht="38.25" x14ac:dyDescent="0.2">
      <c r="A312" s="958" t="s">
        <v>1296</v>
      </c>
      <c r="B312" s="1857" t="str">
        <f>COMPOSIÇÕES!A658</f>
        <v>COMPOSIÇÃO 62</v>
      </c>
      <c r="C312" s="1858"/>
      <c r="D312" s="900" t="str">
        <f>COMPOSIÇÕES!C657</f>
        <v>FORNECIMENTO E INSTALAÇÃO DE TUBO DE ESPUMA DE POLIETILENO EXPANDIDO FLEXIVEL PARA ISOLAMENTO TÉRMICO DE TUBULAÇÃO DE AR DN 1/4" E=10MM</v>
      </c>
      <c r="E312" s="1178" t="s">
        <v>214</v>
      </c>
      <c r="F312" s="867">
        <f>'INS. AR. 13'!D57</f>
        <v>150</v>
      </c>
      <c r="G312" s="901">
        <f>COMPOSIÇÕES!M663</f>
        <v>12.16</v>
      </c>
      <c r="H312" s="324">
        <f t="shared" si="71"/>
        <v>15.66</v>
      </c>
      <c r="I312" s="324">
        <f t="shared" si="72"/>
        <v>2349</v>
      </c>
      <c r="K312" s="751">
        <f t="shared" si="73"/>
        <v>6.2991290331852994E-4</v>
      </c>
    </row>
    <row r="313" spans="1:11" s="109" customFormat="1" x14ac:dyDescent="0.2">
      <c r="A313" s="958" t="s">
        <v>1297</v>
      </c>
      <c r="B313" s="1484" t="s">
        <v>621</v>
      </c>
      <c r="C313" s="615">
        <v>231084</v>
      </c>
      <c r="D313" s="12" t="s">
        <v>1506</v>
      </c>
      <c r="E313" s="1484" t="s">
        <v>1507</v>
      </c>
      <c r="F313" s="322">
        <f>'INS. AR. 13'!D61</f>
        <v>31</v>
      </c>
      <c r="G313" s="319">
        <v>198.87</v>
      </c>
      <c r="H313" s="162">
        <f t="shared" ref="H313" si="74">ROUND((G313*$K$11),2)</f>
        <v>256.18</v>
      </c>
      <c r="I313" s="162">
        <f t="shared" ref="I313" si="75">ROUND(((F313*H313)),2)</f>
        <v>7941.58</v>
      </c>
      <c r="K313" s="751">
        <f t="shared" ref="K313" si="76">I313/$I$488</f>
        <v>2.129631211041452E-3</v>
      </c>
    </row>
    <row r="314" spans="1:11" s="109" customFormat="1" x14ac:dyDescent="0.2">
      <c r="A314" s="1817" t="s">
        <v>688</v>
      </c>
      <c r="B314" s="1818"/>
      <c r="C314" s="1818"/>
      <c r="D314" s="1818"/>
      <c r="E314" s="1818"/>
      <c r="F314" s="1818"/>
      <c r="G314" s="1818"/>
      <c r="H314" s="1819"/>
      <c r="I314" s="141">
        <f>SUM(I301:I313)</f>
        <v>66228.400000000009</v>
      </c>
      <c r="K314" s="751"/>
    </row>
    <row r="315" spans="1:11" s="109" customFormat="1" ht="13.5" thickBot="1" x14ac:dyDescent="0.25">
      <c r="A315" s="82"/>
      <c r="B315" s="82"/>
      <c r="C315" s="82"/>
      <c r="D315" s="81"/>
      <c r="E315" s="82"/>
      <c r="F315" s="83"/>
      <c r="G315" s="82"/>
      <c r="H315" s="82"/>
      <c r="I315" s="84"/>
      <c r="K315" s="751"/>
    </row>
    <row r="316" spans="1:11" s="109" customFormat="1" ht="13.5" thickBot="1" x14ac:dyDescent="0.25">
      <c r="A316" s="90">
        <v>14</v>
      </c>
      <c r="B316" s="90"/>
      <c r="C316" s="90"/>
      <c r="D316" s="1827" t="s">
        <v>256</v>
      </c>
      <c r="E316" s="1828"/>
      <c r="F316" s="1828"/>
      <c r="G316" s="1828"/>
      <c r="H316" s="1828"/>
      <c r="I316" s="1829"/>
      <c r="J316" s="94">
        <f>I380/$I$488</f>
        <v>3.5664394815656447E-2</v>
      </c>
      <c r="K316" s="751"/>
    </row>
    <row r="317" spans="1:11" s="109" customFormat="1" x14ac:dyDescent="0.2">
      <c r="A317" s="1389" t="s">
        <v>27</v>
      </c>
      <c r="B317" s="1389"/>
      <c r="C317" s="1389"/>
      <c r="D317" s="1390" t="s">
        <v>257</v>
      </c>
      <c r="E317" s="1390"/>
      <c r="F317" s="597"/>
      <c r="G317" s="1350"/>
      <c r="H317" s="1350"/>
      <c r="I317" s="1391"/>
      <c r="K317" s="986"/>
    </row>
    <row r="318" spans="1:11" s="109" customFormat="1" ht="25.5" x14ac:dyDescent="0.2">
      <c r="A318" s="108" t="s">
        <v>739</v>
      </c>
      <c r="B318" s="1359" t="s">
        <v>282</v>
      </c>
      <c r="C318" s="68">
        <v>89356</v>
      </c>
      <c r="D318" s="1348" t="s">
        <v>551</v>
      </c>
      <c r="E318" s="68" t="s">
        <v>17</v>
      </c>
      <c r="F318" s="322">
        <f>'INS. HID. 15'!D19</f>
        <v>126</v>
      </c>
      <c r="G318" s="162">
        <v>19.25</v>
      </c>
      <c r="H318" s="313">
        <f t="shared" ref="H318:H328" si="77">ROUND((G318*$K$11),2)</f>
        <v>24.8</v>
      </c>
      <c r="I318" s="313">
        <f t="shared" ref="I318:I328" si="78">ROUND(((F318*H318)),2)</f>
        <v>3124.8</v>
      </c>
      <c r="K318" s="986">
        <f>I318/[1]ORÇ!$I$540</f>
        <v>5.3276691998635712E-4</v>
      </c>
    </row>
    <row r="319" spans="1:11" s="109" customFormat="1" ht="25.5" x14ac:dyDescent="0.2">
      <c r="A319" s="108" t="s">
        <v>740</v>
      </c>
      <c r="B319" s="1359" t="s">
        <v>282</v>
      </c>
      <c r="C319" s="68">
        <v>89447</v>
      </c>
      <c r="D319" s="1348" t="s">
        <v>552</v>
      </c>
      <c r="E319" s="68" t="s">
        <v>17</v>
      </c>
      <c r="F319" s="322">
        <f>'INS. HID. 15'!D25</f>
        <v>108</v>
      </c>
      <c r="G319" s="162">
        <v>12.41</v>
      </c>
      <c r="H319" s="313">
        <f t="shared" si="77"/>
        <v>15.99</v>
      </c>
      <c r="I319" s="313">
        <f t="shared" si="78"/>
        <v>1726.92</v>
      </c>
      <c r="K319" s="986">
        <f>I319/[1]ORÇ!$I$540</f>
        <v>2.9443351557310545E-4</v>
      </c>
    </row>
    <row r="320" spans="1:11" s="109" customFormat="1" ht="38.25" x14ac:dyDescent="0.2">
      <c r="A320" s="108" t="s">
        <v>741</v>
      </c>
      <c r="B320" s="1359" t="s">
        <v>282</v>
      </c>
      <c r="C320" s="68">
        <v>90373</v>
      </c>
      <c r="D320" s="1348" t="s">
        <v>554</v>
      </c>
      <c r="E320" s="68" t="s">
        <v>96</v>
      </c>
      <c r="F320" s="322">
        <f>'INS. HID. 15'!D31</f>
        <v>69</v>
      </c>
      <c r="G320" s="162">
        <v>14.7</v>
      </c>
      <c r="H320" s="313">
        <f t="shared" si="77"/>
        <v>18.940000000000001</v>
      </c>
      <c r="I320" s="313">
        <f t="shared" si="78"/>
        <v>1306.8599999999999</v>
      </c>
      <c r="K320" s="986">
        <f>I320/[1]ORÇ!$I$540</f>
        <v>2.2281482880612217E-4</v>
      </c>
    </row>
    <row r="321" spans="1:13" s="109" customFormat="1" ht="38.25" x14ac:dyDescent="0.2">
      <c r="A321" s="108" t="s">
        <v>742</v>
      </c>
      <c r="B321" s="1359" t="s">
        <v>282</v>
      </c>
      <c r="C321" s="68">
        <v>89413</v>
      </c>
      <c r="D321" s="1348" t="s">
        <v>868</v>
      </c>
      <c r="E321" s="68" t="s">
        <v>96</v>
      </c>
      <c r="F321" s="322">
        <f>'INS. HID. 15'!D36</f>
        <v>2</v>
      </c>
      <c r="G321" s="162">
        <v>8.19</v>
      </c>
      <c r="H321" s="313">
        <f t="shared" si="77"/>
        <v>10.55</v>
      </c>
      <c r="I321" s="313">
        <f t="shared" si="78"/>
        <v>21.1</v>
      </c>
      <c r="K321" s="986">
        <f>I321/[1]ORÇ!$I$540</f>
        <v>3.5974724819867306E-6</v>
      </c>
      <c r="M321" s="195">
        <f>I318+I319+I320+I321+I322+I323+I324+I352+I353+I354+I355+I356+I357+I358+I359+I360+I361+I362+I363+I364+I365+I366+I367+I368+I369+I373+I374</f>
        <v>19120.750000000004</v>
      </c>
    </row>
    <row r="322" spans="1:13" s="109" customFormat="1" x14ac:dyDescent="0.2">
      <c r="A322" s="108" t="s">
        <v>743</v>
      </c>
      <c r="B322" s="1359" t="s">
        <v>621</v>
      </c>
      <c r="C322" s="68">
        <v>180218</v>
      </c>
      <c r="D322" s="1500" t="s">
        <v>843</v>
      </c>
      <c r="E322" s="68" t="s">
        <v>96</v>
      </c>
      <c r="F322" s="322">
        <f>'INS. HID. 15'!D40</f>
        <v>12</v>
      </c>
      <c r="G322" s="162">
        <v>12.7</v>
      </c>
      <c r="H322" s="313">
        <f t="shared" si="77"/>
        <v>16.36</v>
      </c>
      <c r="I322" s="313">
        <f t="shared" si="78"/>
        <v>196.32</v>
      </c>
      <c r="K322" s="986">
        <f>I322/[1]ORÇ!$I$540</f>
        <v>3.3471838751831036E-5</v>
      </c>
      <c r="M322" s="109">
        <f>M321/[1]ORÇ!I431</f>
        <v>0.15278150105932081</v>
      </c>
    </row>
    <row r="323" spans="1:13" s="109" customFormat="1" ht="25.5" x14ac:dyDescent="0.2">
      <c r="A323" s="108" t="s">
        <v>744</v>
      </c>
      <c r="B323" s="1359" t="s">
        <v>282</v>
      </c>
      <c r="C323" s="68">
        <v>89440</v>
      </c>
      <c r="D323" s="1500" t="s">
        <v>553</v>
      </c>
      <c r="E323" s="68" t="s">
        <v>96</v>
      </c>
      <c r="F323" s="322">
        <f>'INS. HID. 15'!D45</f>
        <v>46</v>
      </c>
      <c r="G323" s="162">
        <v>7.62</v>
      </c>
      <c r="H323" s="313">
        <f t="shared" si="77"/>
        <v>9.82</v>
      </c>
      <c r="I323" s="313">
        <f t="shared" si="78"/>
        <v>451.72</v>
      </c>
      <c r="K323" s="986">
        <f>I323/[1]ORÇ!$I$540</f>
        <v>7.7016600453224925E-5</v>
      </c>
    </row>
    <row r="324" spans="1:13" s="109" customFormat="1" ht="25.5" x14ac:dyDescent="0.2">
      <c r="A324" s="108" t="s">
        <v>911</v>
      </c>
      <c r="B324" s="1359" t="s">
        <v>282</v>
      </c>
      <c r="C324" s="68">
        <v>89620</v>
      </c>
      <c r="D324" s="1500" t="s">
        <v>848</v>
      </c>
      <c r="E324" s="68" t="s">
        <v>96</v>
      </c>
      <c r="F324" s="322">
        <f>'INS. HID. 15'!D49</f>
        <v>12</v>
      </c>
      <c r="G324" s="162">
        <v>11.08</v>
      </c>
      <c r="H324" s="313">
        <f t="shared" si="77"/>
        <v>14.27</v>
      </c>
      <c r="I324" s="313">
        <f t="shared" si="78"/>
        <v>171.24</v>
      </c>
      <c r="K324" s="986">
        <f>I324/[1]ORÇ!$I$540</f>
        <v>2.9195790891725484E-5</v>
      </c>
    </row>
    <row r="325" spans="1:13" s="109" customFormat="1" ht="25.5" x14ac:dyDescent="0.2">
      <c r="A325" s="108" t="s">
        <v>912</v>
      </c>
      <c r="B325" s="1359" t="s">
        <v>282</v>
      </c>
      <c r="C325" s="68">
        <v>89622</v>
      </c>
      <c r="D325" s="1500" t="s">
        <v>1404</v>
      </c>
      <c r="E325" s="68" t="s">
        <v>96</v>
      </c>
      <c r="F325" s="322">
        <f>'INS. HID. 15'!D53</f>
        <v>4</v>
      </c>
      <c r="G325" s="162">
        <v>13.72</v>
      </c>
      <c r="H325" s="313">
        <f t="shared" si="77"/>
        <v>17.670000000000002</v>
      </c>
      <c r="I325" s="313">
        <f t="shared" si="78"/>
        <v>70.680000000000007</v>
      </c>
      <c r="K325" s="986">
        <f>I325/[1]ORÇ!$I$540</f>
        <v>1.2050680333024745E-5</v>
      </c>
    </row>
    <row r="326" spans="1:13" s="109" customFormat="1" ht="38.25" x14ac:dyDescent="0.2">
      <c r="A326" s="108" t="s">
        <v>913</v>
      </c>
      <c r="B326" s="1359" t="s">
        <v>282</v>
      </c>
      <c r="C326" s="68">
        <v>89987</v>
      </c>
      <c r="D326" s="1500" t="s">
        <v>1280</v>
      </c>
      <c r="E326" s="68" t="s">
        <v>96</v>
      </c>
      <c r="F326" s="322">
        <f>'INS. HID. 15'!D57</f>
        <v>17</v>
      </c>
      <c r="G326" s="162">
        <v>94.57</v>
      </c>
      <c r="H326" s="313">
        <f t="shared" si="77"/>
        <v>121.83</v>
      </c>
      <c r="I326" s="313">
        <f t="shared" si="78"/>
        <v>2071.11</v>
      </c>
      <c r="K326" s="986">
        <f>I326/[1]ORÇ!$I$540</f>
        <v>3.5311664607429091E-4</v>
      </c>
    </row>
    <row r="327" spans="1:13" s="109" customFormat="1" x14ac:dyDescent="0.2">
      <c r="A327" s="108" t="s">
        <v>1405</v>
      </c>
      <c r="B327" s="1359" t="s">
        <v>621</v>
      </c>
      <c r="C327" s="69">
        <v>180447</v>
      </c>
      <c r="D327" s="1392" t="s">
        <v>844</v>
      </c>
      <c r="E327" s="68" t="s">
        <v>96</v>
      </c>
      <c r="F327" s="322">
        <f>'INS. HID. 15'!D61</f>
        <v>4</v>
      </c>
      <c r="G327" s="162">
        <v>145.30000000000001</v>
      </c>
      <c r="H327" s="313">
        <f t="shared" si="77"/>
        <v>187.18</v>
      </c>
      <c r="I327" s="313">
        <f t="shared" si="78"/>
        <v>748.72</v>
      </c>
      <c r="K327" s="986">
        <f>I327/[1]ORÇ!$I$540</f>
        <v>1.2765400932289597E-4</v>
      </c>
    </row>
    <row r="328" spans="1:13" s="109" customFormat="1" ht="25.5" x14ac:dyDescent="0.2">
      <c r="A328" s="108" t="s">
        <v>1406</v>
      </c>
      <c r="B328" s="1359" t="s">
        <v>282</v>
      </c>
      <c r="C328" s="69">
        <v>89541</v>
      </c>
      <c r="D328" s="1392" t="s">
        <v>1407</v>
      </c>
      <c r="E328" s="68" t="s">
        <v>96</v>
      </c>
      <c r="F328" s="322">
        <f>'INS. HID. 15'!D65</f>
        <v>5</v>
      </c>
      <c r="G328" s="162">
        <v>5.64</v>
      </c>
      <c r="H328" s="313">
        <f t="shared" si="77"/>
        <v>7.27</v>
      </c>
      <c r="I328" s="313">
        <f t="shared" si="78"/>
        <v>36.35</v>
      </c>
      <c r="K328" s="986">
        <f>I328/[1]ORÇ!$I$540</f>
        <v>6.1975414559344862E-6</v>
      </c>
    </row>
    <row r="329" spans="1:13" s="109" customFormat="1" x14ac:dyDescent="0.2">
      <c r="A329" s="1389" t="s">
        <v>28</v>
      </c>
      <c r="B329" s="1389"/>
      <c r="C329" s="1389"/>
      <c r="D329" s="1393" t="s">
        <v>212</v>
      </c>
      <c r="E329" s="108"/>
      <c r="F329" s="322"/>
      <c r="G329" s="162"/>
      <c r="H329" s="313"/>
      <c r="I329" s="313"/>
      <c r="K329" s="986"/>
    </row>
    <row r="330" spans="1:13" s="109" customFormat="1" ht="25.5" x14ac:dyDescent="0.2">
      <c r="A330" s="108" t="s">
        <v>745</v>
      </c>
      <c r="B330" s="1359" t="s">
        <v>282</v>
      </c>
      <c r="C330" s="110">
        <v>89494</v>
      </c>
      <c r="D330" s="16" t="s">
        <v>845</v>
      </c>
      <c r="E330" s="68" t="s">
        <v>96</v>
      </c>
      <c r="F330" s="322">
        <f>'INS. HID. 15'!D70</f>
        <v>12</v>
      </c>
      <c r="G330" s="162">
        <v>13.23</v>
      </c>
      <c r="H330" s="313">
        <f t="shared" ref="H330:H339" si="79">ROUND((G330*$K$11),2)</f>
        <v>17.04</v>
      </c>
      <c r="I330" s="313">
        <f t="shared" ref="I330:I339" si="80">ROUND(((F330*H330)),2)</f>
        <v>204.48</v>
      </c>
      <c r="K330" s="986">
        <f>I330/[1]ORÇ!$I$540</f>
        <v>3.4863088773300785E-5</v>
      </c>
    </row>
    <row r="331" spans="1:13" s="109" customFormat="1" ht="51" x14ac:dyDescent="0.2">
      <c r="A331" s="108" t="s">
        <v>746</v>
      </c>
      <c r="B331" s="1359" t="s">
        <v>282</v>
      </c>
      <c r="C331" s="110">
        <v>94785</v>
      </c>
      <c r="D331" s="16" t="s">
        <v>846</v>
      </c>
      <c r="E331" s="68" t="s">
        <v>96</v>
      </c>
      <c r="F331" s="322">
        <f>'INS. HID. 15'!D74</f>
        <v>8</v>
      </c>
      <c r="G331" s="162">
        <v>36.24</v>
      </c>
      <c r="H331" s="313">
        <f t="shared" si="79"/>
        <v>46.68</v>
      </c>
      <c r="I331" s="313">
        <f t="shared" si="80"/>
        <v>373.44</v>
      </c>
      <c r="J331" s="166"/>
      <c r="K331" s="986">
        <f>I331/[1]ORÇ!$I$540</f>
        <v>6.3670148041380307E-5</v>
      </c>
    </row>
    <row r="332" spans="1:13" s="109" customFormat="1" ht="38.25" x14ac:dyDescent="0.2">
      <c r="A332" s="108" t="s">
        <v>747</v>
      </c>
      <c r="B332" s="1359" t="s">
        <v>282</v>
      </c>
      <c r="C332" s="110">
        <v>89551</v>
      </c>
      <c r="D332" s="16" t="s">
        <v>847</v>
      </c>
      <c r="E332" s="68" t="s">
        <v>96</v>
      </c>
      <c r="F332" s="322">
        <f>'INS. HID. 15'!D79</f>
        <v>2</v>
      </c>
      <c r="G332" s="162">
        <v>10.14</v>
      </c>
      <c r="H332" s="313">
        <f t="shared" si="79"/>
        <v>13.06</v>
      </c>
      <c r="I332" s="313">
        <f t="shared" si="80"/>
        <v>26.12</v>
      </c>
      <c r="K332" s="986">
        <f>I332/[1]ORÇ!$I$540</f>
        <v>4.4533640393124833E-6</v>
      </c>
    </row>
    <row r="333" spans="1:13" s="109" customFormat="1" ht="25.5" x14ac:dyDescent="0.2">
      <c r="A333" s="108" t="s">
        <v>748</v>
      </c>
      <c r="B333" s="1359" t="s">
        <v>282</v>
      </c>
      <c r="C333" s="110">
        <v>94796</v>
      </c>
      <c r="D333" s="16" t="s">
        <v>555</v>
      </c>
      <c r="E333" s="68" t="s">
        <v>96</v>
      </c>
      <c r="F333" s="322">
        <f>'INS. HID. 15'!D83</f>
        <v>2</v>
      </c>
      <c r="G333" s="162">
        <v>39.03</v>
      </c>
      <c r="H333" s="313">
        <f t="shared" si="79"/>
        <v>50.28</v>
      </c>
      <c r="I333" s="313">
        <f t="shared" si="80"/>
        <v>100.56</v>
      </c>
      <c r="K333" s="986">
        <f>I333/[1]ORÇ!$I$540</f>
        <v>1.714511055870074E-5</v>
      </c>
    </row>
    <row r="334" spans="1:13" s="109" customFormat="1" ht="51" x14ac:dyDescent="0.2">
      <c r="A334" s="108" t="s">
        <v>749</v>
      </c>
      <c r="B334" s="1359" t="s">
        <v>282</v>
      </c>
      <c r="C334" s="110">
        <v>94495</v>
      </c>
      <c r="D334" s="16" t="s">
        <v>556</v>
      </c>
      <c r="E334" s="68" t="s">
        <v>96</v>
      </c>
      <c r="F334" s="322">
        <f>'INS. HID. 15'!D87</f>
        <v>4</v>
      </c>
      <c r="G334" s="162">
        <v>61.47</v>
      </c>
      <c r="H334" s="313">
        <f t="shared" si="79"/>
        <v>79.19</v>
      </c>
      <c r="I334" s="313">
        <f t="shared" si="80"/>
        <v>316.76</v>
      </c>
      <c r="K334" s="986">
        <f>I334/[1]ORÇ!$I$540</f>
        <v>5.4006416274602683E-5</v>
      </c>
    </row>
    <row r="335" spans="1:13" s="109" customFormat="1" ht="51" x14ac:dyDescent="0.2">
      <c r="A335" s="108" t="s">
        <v>750</v>
      </c>
      <c r="B335" s="1359" t="s">
        <v>282</v>
      </c>
      <c r="C335" s="110">
        <v>94656</v>
      </c>
      <c r="D335" s="16" t="s">
        <v>269</v>
      </c>
      <c r="E335" s="68" t="s">
        <v>96</v>
      </c>
      <c r="F335" s="322">
        <f>'INS. HID. 15'!D91</f>
        <v>8</v>
      </c>
      <c r="G335" s="162">
        <v>5.57</v>
      </c>
      <c r="H335" s="313">
        <f t="shared" si="79"/>
        <v>7.18</v>
      </c>
      <c r="I335" s="313">
        <f t="shared" si="80"/>
        <v>57.44</v>
      </c>
      <c r="K335" s="986">
        <f>I335/[1]ORÇ!$I$540</f>
        <v>9.7933089746596113E-6</v>
      </c>
    </row>
    <row r="336" spans="1:13" s="109" customFormat="1" ht="25.5" x14ac:dyDescent="0.2">
      <c r="A336" s="108" t="s">
        <v>751</v>
      </c>
      <c r="B336" s="1359" t="s">
        <v>282</v>
      </c>
      <c r="C336" s="110">
        <v>89620</v>
      </c>
      <c r="D336" s="16" t="s">
        <v>848</v>
      </c>
      <c r="E336" s="68" t="s">
        <v>96</v>
      </c>
      <c r="F336" s="322">
        <f>'INS. HID. 15'!D95</f>
        <v>3</v>
      </c>
      <c r="G336" s="162">
        <v>11.08</v>
      </c>
      <c r="H336" s="313">
        <f t="shared" si="79"/>
        <v>14.27</v>
      </c>
      <c r="I336" s="313">
        <f t="shared" si="80"/>
        <v>42.81</v>
      </c>
      <c r="K336" s="986">
        <f>I336/[1]ORÇ!$I$540</f>
        <v>7.298947722931371E-6</v>
      </c>
    </row>
    <row r="337" spans="1:11" s="109" customFormat="1" ht="38.25" x14ac:dyDescent="0.2">
      <c r="A337" s="108" t="s">
        <v>752</v>
      </c>
      <c r="B337" s="1359" t="s">
        <v>282</v>
      </c>
      <c r="C337" s="110">
        <v>94649</v>
      </c>
      <c r="D337" s="16" t="s">
        <v>1408</v>
      </c>
      <c r="E337" s="68" t="s">
        <v>214</v>
      </c>
      <c r="F337" s="322">
        <f>'INS. HID. 15'!D99</f>
        <v>18</v>
      </c>
      <c r="G337" s="162">
        <v>16.47</v>
      </c>
      <c r="H337" s="313">
        <f t="shared" si="79"/>
        <v>21.22</v>
      </c>
      <c r="I337" s="313">
        <f t="shared" si="80"/>
        <v>381.96</v>
      </c>
      <c r="K337" s="986">
        <f>I337/[1]ORÇ!$I$540</f>
        <v>6.5122776740267839E-5</v>
      </c>
    </row>
    <row r="338" spans="1:11" s="109" customFormat="1" ht="51" x14ac:dyDescent="0.2">
      <c r="A338" s="108" t="s">
        <v>753</v>
      </c>
      <c r="B338" s="1359" t="s">
        <v>282</v>
      </c>
      <c r="C338" s="110">
        <v>91179</v>
      </c>
      <c r="D338" s="16" t="s">
        <v>270</v>
      </c>
      <c r="E338" s="68" t="s">
        <v>214</v>
      </c>
      <c r="F338" s="322">
        <f>'INS. HID. 15'!D103</f>
        <v>18</v>
      </c>
      <c r="G338" s="162">
        <v>6.14</v>
      </c>
      <c r="H338" s="313">
        <f t="shared" si="79"/>
        <v>7.91</v>
      </c>
      <c r="I338" s="313">
        <f t="shared" si="80"/>
        <v>142.38</v>
      </c>
      <c r="K338" s="986">
        <f>I338/[1]ORÇ!$I$540</f>
        <v>2.4275266918733207E-5</v>
      </c>
    </row>
    <row r="339" spans="1:11" s="109" customFormat="1" ht="25.5" x14ac:dyDescent="0.2">
      <c r="A339" s="108" t="s">
        <v>1409</v>
      </c>
      <c r="B339" s="1820" t="str">
        <f>COMPOSIÇÕES!A421</f>
        <v>COMPOSIÇÃO 43</v>
      </c>
      <c r="C339" s="1821"/>
      <c r="D339" s="16" t="str">
        <f>COMPOSIÇÕES!C420</f>
        <v>FORNECIMENTO E INSTALAÇÃO DE CAIXA D'ÁGUA EM FIBRA DE VIDRO, 2000 LITROS, INCLUINDO FURO COM ESPESSURA DE 2 ATÉ 5MM.</v>
      </c>
      <c r="E339" s="68" t="s">
        <v>96</v>
      </c>
      <c r="F339" s="322">
        <f>'INS. HID. 15'!D107</f>
        <v>2</v>
      </c>
      <c r="G339" s="162">
        <f>COMPOSIÇÕES!M427</f>
        <v>1298.5700000000002</v>
      </c>
      <c r="H339" s="313">
        <f t="shared" si="79"/>
        <v>1672.82</v>
      </c>
      <c r="I339" s="313">
        <f t="shared" si="80"/>
        <v>3345.64</v>
      </c>
      <c r="K339" s="986">
        <f>I339/[1]ORÇ!$I$540</f>
        <v>5.7041932865564378E-4</v>
      </c>
    </row>
    <row r="340" spans="1:11" s="109" customFormat="1" x14ac:dyDescent="0.2">
      <c r="A340" s="1394" t="s">
        <v>211</v>
      </c>
      <c r="B340" s="1394"/>
      <c r="C340" s="1394"/>
      <c r="D340" s="1395" t="s">
        <v>561</v>
      </c>
      <c r="E340" s="1395"/>
      <c r="F340" s="349"/>
      <c r="G340" s="1394"/>
      <c r="H340" s="1394"/>
      <c r="I340" s="1391"/>
      <c r="K340" s="986"/>
    </row>
    <row r="341" spans="1:11" s="109" customFormat="1" ht="38.25" x14ac:dyDescent="0.2">
      <c r="A341" s="108" t="s">
        <v>754</v>
      </c>
      <c r="B341" s="1359" t="s">
        <v>282</v>
      </c>
      <c r="C341" s="108">
        <v>89578</v>
      </c>
      <c r="D341" s="66" t="s">
        <v>268</v>
      </c>
      <c r="E341" s="68" t="s">
        <v>17</v>
      </c>
      <c r="F341" s="322">
        <f>'INS. HID. 15'!D112</f>
        <v>180</v>
      </c>
      <c r="G341" s="162">
        <v>45.58</v>
      </c>
      <c r="H341" s="313">
        <f t="shared" ref="H341:H350" si="81">ROUND((G341*$K$11),2)</f>
        <v>58.72</v>
      </c>
      <c r="I341" s="313">
        <f t="shared" ref="I341:I350" si="82">ROUND(((F341*H341)),2)</f>
        <v>10569.6</v>
      </c>
      <c r="K341" s="986">
        <f>I341/[1]ORÇ!$I$540</f>
        <v>1.8020779689861112E-3</v>
      </c>
    </row>
    <row r="342" spans="1:11" s="109" customFormat="1" ht="25.5" x14ac:dyDescent="0.2">
      <c r="A342" s="108" t="s">
        <v>755</v>
      </c>
      <c r="B342" s="1820" t="str">
        <f>COMPOSIÇÕES!A395</f>
        <v>COMPOSIÇÃO 40</v>
      </c>
      <c r="C342" s="1821"/>
      <c r="D342" s="254" t="str">
        <f>COMPOSIÇÕES!C394</f>
        <v>RALO FOFO SEMIESFERICO, 100 MM, PARA LAJES/ CALHAS. FORNECIMENTO E INSTALAÇÃO</v>
      </c>
      <c r="E342" s="112" t="s">
        <v>96</v>
      </c>
      <c r="F342" s="322">
        <f>'INS. HID. 15'!D116</f>
        <v>11</v>
      </c>
      <c r="G342" s="162">
        <f>COMPOSIÇÕES!M401</f>
        <v>87.8</v>
      </c>
      <c r="H342" s="313">
        <f t="shared" si="81"/>
        <v>113.1</v>
      </c>
      <c r="I342" s="313">
        <f t="shared" si="82"/>
        <v>1244.0999999999999</v>
      </c>
      <c r="K342" s="986">
        <f>I342/[1]ORÇ!$I$540</f>
        <v>2.1211447937628867E-4</v>
      </c>
    </row>
    <row r="343" spans="1:11" s="109" customFormat="1" ht="38.25" x14ac:dyDescent="0.2">
      <c r="A343" s="108" t="s">
        <v>835</v>
      </c>
      <c r="B343" s="1516" t="s">
        <v>282</v>
      </c>
      <c r="C343" s="108">
        <v>91175</v>
      </c>
      <c r="D343" s="254" t="s">
        <v>381</v>
      </c>
      <c r="E343" s="112" t="s">
        <v>17</v>
      </c>
      <c r="F343" s="322">
        <f>'INS. HID. 15'!D120</f>
        <v>180</v>
      </c>
      <c r="G343" s="162">
        <v>4.0999999999999996</v>
      </c>
      <c r="H343" s="313">
        <f t="shared" si="81"/>
        <v>5.28</v>
      </c>
      <c r="I343" s="313">
        <f t="shared" si="82"/>
        <v>950.4</v>
      </c>
      <c r="K343" s="986">
        <f>I343/[1]ORÇ!$I$540</f>
        <v>1.6203970838294732E-4</v>
      </c>
    </row>
    <row r="344" spans="1:11" s="109" customFormat="1" ht="38.25" x14ac:dyDescent="0.2">
      <c r="A344" s="108" t="s">
        <v>836</v>
      </c>
      <c r="B344" s="1516" t="s">
        <v>282</v>
      </c>
      <c r="C344" s="108">
        <v>95695</v>
      </c>
      <c r="D344" s="254" t="s">
        <v>1410</v>
      </c>
      <c r="E344" s="112" t="s">
        <v>96</v>
      </c>
      <c r="F344" s="322">
        <f>'INS. HID. 15'!D124</f>
        <v>11</v>
      </c>
      <c r="G344" s="162">
        <v>70.44</v>
      </c>
      <c r="H344" s="313">
        <f t="shared" si="81"/>
        <v>90.74</v>
      </c>
      <c r="I344" s="313">
        <f t="shared" si="82"/>
        <v>998.14</v>
      </c>
      <c r="K344" s="986">
        <f>I344/[1]ORÇ!$I$540</f>
        <v>1.7017920299385001E-4</v>
      </c>
    </row>
    <row r="345" spans="1:11" s="109" customFormat="1" ht="25.5" x14ac:dyDescent="0.2">
      <c r="A345" s="108" t="s">
        <v>837</v>
      </c>
      <c r="B345" s="1516" t="s">
        <v>282</v>
      </c>
      <c r="C345" s="108">
        <v>97897</v>
      </c>
      <c r="D345" s="16" t="s">
        <v>550</v>
      </c>
      <c r="E345" s="68" t="s">
        <v>96</v>
      </c>
      <c r="F345" s="322">
        <f>'INS. HID. 15'!D128</f>
        <v>12</v>
      </c>
      <c r="G345" s="162">
        <v>385.13</v>
      </c>
      <c r="H345" s="313">
        <f t="shared" si="81"/>
        <v>496.12</v>
      </c>
      <c r="I345" s="313">
        <f t="shared" si="82"/>
        <v>5953.44</v>
      </c>
      <c r="K345" s="986">
        <f>I345/[1]ORÇ!$I$540</f>
        <v>1.015039648017018E-3</v>
      </c>
    </row>
    <row r="346" spans="1:11" s="109" customFormat="1" x14ac:dyDescent="0.2">
      <c r="A346" s="108" t="s">
        <v>838</v>
      </c>
      <c r="B346" s="1516" t="s">
        <v>621</v>
      </c>
      <c r="C346" s="108">
        <v>180709</v>
      </c>
      <c r="D346" s="1396" t="s">
        <v>669</v>
      </c>
      <c r="E346" s="68" t="s">
        <v>17</v>
      </c>
      <c r="F346" s="322">
        <f>'INS. HID. 15'!D139</f>
        <v>47.43</v>
      </c>
      <c r="G346" s="162">
        <v>290.08</v>
      </c>
      <c r="H346" s="313">
        <f t="shared" si="81"/>
        <v>373.68</v>
      </c>
      <c r="I346" s="313">
        <f t="shared" si="82"/>
        <v>17723.64</v>
      </c>
      <c r="K346" s="986">
        <f>I346/[1]ORÇ!$I$540</f>
        <v>3.0218155061914357E-3</v>
      </c>
    </row>
    <row r="347" spans="1:11" s="109" customFormat="1" x14ac:dyDescent="0.2">
      <c r="A347" s="108" t="s">
        <v>1411</v>
      </c>
      <c r="B347" s="1516" t="s">
        <v>621</v>
      </c>
      <c r="C347" s="108">
        <v>80704</v>
      </c>
      <c r="D347" s="1396" t="s">
        <v>1412</v>
      </c>
      <c r="E347" s="68" t="s">
        <v>6</v>
      </c>
      <c r="F347" s="322">
        <f>'INS. HID. 15'!D146</f>
        <v>56.92</v>
      </c>
      <c r="G347" s="162">
        <v>70.67</v>
      </c>
      <c r="H347" s="313">
        <f t="shared" si="81"/>
        <v>91.04</v>
      </c>
      <c r="I347" s="313">
        <f t="shared" si="82"/>
        <v>5182</v>
      </c>
      <c r="K347" s="986">
        <f>I347/[1]ORÇ!$I$540</f>
        <v>8.8351196216375526E-4</v>
      </c>
    </row>
    <row r="348" spans="1:11" s="109" customFormat="1" ht="25.5" x14ac:dyDescent="0.2">
      <c r="A348" s="108" t="s">
        <v>1413</v>
      </c>
      <c r="B348" s="1516" t="s">
        <v>282</v>
      </c>
      <c r="C348" s="108">
        <v>98563</v>
      </c>
      <c r="D348" s="1396" t="s">
        <v>655</v>
      </c>
      <c r="E348" s="68" t="s">
        <v>6</v>
      </c>
      <c r="F348" s="322">
        <f>'INS. HID. 15'!D153</f>
        <v>18.97</v>
      </c>
      <c r="G348" s="162">
        <v>34.229999999999997</v>
      </c>
      <c r="H348" s="313">
        <f t="shared" si="81"/>
        <v>44.1</v>
      </c>
      <c r="I348" s="313">
        <f t="shared" si="82"/>
        <v>836.58</v>
      </c>
      <c r="K348" s="986">
        <f>I348/[1]ORÇ!$I$540</f>
        <v>1.4263381653935824E-4</v>
      </c>
    </row>
    <row r="349" spans="1:11" s="109" customFormat="1" ht="25.5" x14ac:dyDescent="0.2">
      <c r="A349" s="108" t="s">
        <v>1414</v>
      </c>
      <c r="B349" s="1516" t="s">
        <v>282</v>
      </c>
      <c r="C349" s="108">
        <v>98564</v>
      </c>
      <c r="D349" s="1396" t="s">
        <v>1415</v>
      </c>
      <c r="E349" s="68" t="s">
        <v>6</v>
      </c>
      <c r="F349" s="322">
        <f>'INS. HID. 15'!D160</f>
        <v>37.94</v>
      </c>
      <c r="G349" s="162">
        <v>46.92</v>
      </c>
      <c r="H349" s="313">
        <f t="shared" si="81"/>
        <v>60.44</v>
      </c>
      <c r="I349" s="313">
        <f t="shared" si="82"/>
        <v>2293.09</v>
      </c>
      <c r="K349" s="986">
        <f>I349/[1]ORÇ!$I$540</f>
        <v>3.9096342055540059E-4</v>
      </c>
    </row>
    <row r="350" spans="1:11" s="109" customFormat="1" x14ac:dyDescent="0.2">
      <c r="A350" s="108" t="s">
        <v>1416</v>
      </c>
      <c r="B350" s="1516" t="s">
        <v>621</v>
      </c>
      <c r="C350" s="108">
        <v>241320</v>
      </c>
      <c r="D350" s="1396" t="s">
        <v>1417</v>
      </c>
      <c r="E350" s="68" t="s">
        <v>214</v>
      </c>
      <c r="F350" s="322">
        <f>'INS. HID. 15'!D164</f>
        <v>47.43</v>
      </c>
      <c r="G350" s="162">
        <v>192.98</v>
      </c>
      <c r="H350" s="313">
        <f t="shared" si="81"/>
        <v>248.6</v>
      </c>
      <c r="I350" s="313">
        <f t="shared" si="82"/>
        <v>11791.1</v>
      </c>
      <c r="K350" s="986">
        <f>I350/[1]ORÇ!$I$540</f>
        <v>2.0103392313911726E-3</v>
      </c>
    </row>
    <row r="351" spans="1:11" s="109" customFormat="1" x14ac:dyDescent="0.2">
      <c r="A351" s="386" t="s">
        <v>914</v>
      </c>
      <c r="B351" s="386"/>
      <c r="C351" s="386"/>
      <c r="D351" s="1397" t="s">
        <v>258</v>
      </c>
      <c r="E351" s="1397"/>
      <c r="F351" s="349"/>
      <c r="G351" s="1398"/>
      <c r="H351" s="1398"/>
      <c r="I351" s="1391"/>
      <c r="K351" s="986"/>
    </row>
    <row r="352" spans="1:11" s="109" customFormat="1" ht="38.25" x14ac:dyDescent="0.2">
      <c r="A352" s="1399" t="s">
        <v>915</v>
      </c>
      <c r="B352" s="729" t="s">
        <v>282</v>
      </c>
      <c r="C352" s="108">
        <v>89711</v>
      </c>
      <c r="D352" s="1400" t="s">
        <v>546</v>
      </c>
      <c r="E352" s="68" t="s">
        <v>17</v>
      </c>
      <c r="F352" s="868">
        <f>'INS. HID. 15'!D169</f>
        <v>90</v>
      </c>
      <c r="G352" s="162">
        <v>17.420000000000002</v>
      </c>
      <c r="H352" s="313">
        <f t="shared" ref="H352:H371" si="83">ROUND((G352*$K$11),2)</f>
        <v>22.44</v>
      </c>
      <c r="I352" s="313">
        <f t="shared" ref="I352:I371" si="84">ROUND(((F352*H352)),2)</f>
        <v>2019.6</v>
      </c>
      <c r="K352" s="986">
        <f>I352/[1]ORÇ!$I$540</f>
        <v>3.4433438031376303E-4</v>
      </c>
    </row>
    <row r="353" spans="1:11" s="109" customFormat="1" ht="38.25" x14ac:dyDescent="0.2">
      <c r="A353" s="1399" t="s">
        <v>916</v>
      </c>
      <c r="B353" s="1359" t="s">
        <v>282</v>
      </c>
      <c r="C353" s="108">
        <v>89798</v>
      </c>
      <c r="D353" s="1401" t="s">
        <v>239</v>
      </c>
      <c r="E353" s="68" t="s">
        <v>17</v>
      </c>
      <c r="F353" s="868">
        <f>'INS. HID. 15'!D173</f>
        <v>42</v>
      </c>
      <c r="G353" s="162">
        <v>12.59</v>
      </c>
      <c r="H353" s="313">
        <f t="shared" si="83"/>
        <v>16.22</v>
      </c>
      <c r="I353" s="313">
        <f t="shared" si="84"/>
        <v>681.24</v>
      </c>
      <c r="K353" s="986">
        <f>I353/[1]ORÇ!$I$540</f>
        <v>1.1614891723358485E-4</v>
      </c>
    </row>
    <row r="354" spans="1:11" s="109" customFormat="1" ht="38.25" x14ac:dyDescent="0.2">
      <c r="A354" s="1399" t="s">
        <v>917</v>
      </c>
      <c r="B354" s="1359" t="s">
        <v>282</v>
      </c>
      <c r="C354" s="108">
        <v>89799</v>
      </c>
      <c r="D354" s="1401" t="s">
        <v>970</v>
      </c>
      <c r="E354" s="68" t="s">
        <v>17</v>
      </c>
      <c r="F354" s="868">
        <f>'INS. HID. 15'!D177</f>
        <v>72</v>
      </c>
      <c r="G354" s="162">
        <v>20.170000000000002</v>
      </c>
      <c r="H354" s="313">
        <f t="shared" si="83"/>
        <v>25.98</v>
      </c>
      <c r="I354" s="313">
        <f t="shared" si="84"/>
        <v>1870.56</v>
      </c>
      <c r="K354" s="986">
        <f>I354/[1]ORÇ!$I$540</f>
        <v>3.1892360786280088E-4</v>
      </c>
    </row>
    <row r="355" spans="1:11" s="109" customFormat="1" ht="38.25" x14ac:dyDescent="0.2">
      <c r="A355" s="1399" t="s">
        <v>918</v>
      </c>
      <c r="B355" s="1359" t="s">
        <v>282</v>
      </c>
      <c r="C355" s="1402">
        <v>89800</v>
      </c>
      <c r="D355" s="1348" t="s">
        <v>240</v>
      </c>
      <c r="E355" s="68" t="s">
        <v>17</v>
      </c>
      <c r="F355" s="322">
        <f>'INS. HID. 15'!D181</f>
        <v>90</v>
      </c>
      <c r="G355" s="162">
        <v>24.62</v>
      </c>
      <c r="H355" s="313">
        <f t="shared" si="83"/>
        <v>31.72</v>
      </c>
      <c r="I355" s="313">
        <f t="shared" si="84"/>
        <v>2854.8</v>
      </c>
      <c r="K355" s="986">
        <f>I355/[1]ORÇ!$I$540</f>
        <v>4.8673291192301982E-4</v>
      </c>
    </row>
    <row r="356" spans="1:11" s="109" customFormat="1" ht="38.25" x14ac:dyDescent="0.2">
      <c r="A356" s="1399" t="s">
        <v>919</v>
      </c>
      <c r="B356" s="1359" t="s">
        <v>282</v>
      </c>
      <c r="C356" s="1402">
        <v>89728</v>
      </c>
      <c r="D356" s="1348" t="s">
        <v>548</v>
      </c>
      <c r="E356" s="108" t="s">
        <v>96</v>
      </c>
      <c r="F356" s="322">
        <f>'INS. HID. 15'!D185</f>
        <v>19</v>
      </c>
      <c r="G356" s="162">
        <v>9.99</v>
      </c>
      <c r="H356" s="313">
        <f t="shared" si="83"/>
        <v>12.87</v>
      </c>
      <c r="I356" s="313">
        <f t="shared" si="84"/>
        <v>244.53</v>
      </c>
      <c r="K356" s="986">
        <f>I356/[1]ORÇ!$I$540</f>
        <v>4.1691466636029158E-5</v>
      </c>
    </row>
    <row r="357" spans="1:11" s="166" customFormat="1" ht="25.5" x14ac:dyDescent="0.2">
      <c r="A357" s="1399" t="s">
        <v>920</v>
      </c>
      <c r="B357" s="1359" t="s">
        <v>282</v>
      </c>
      <c r="C357" s="1402">
        <v>89503</v>
      </c>
      <c r="D357" s="1403" t="s">
        <v>974</v>
      </c>
      <c r="E357" s="108" t="s">
        <v>96</v>
      </c>
      <c r="F357" s="1404">
        <f>'INS. HID. 15'!D189</f>
        <v>19</v>
      </c>
      <c r="G357" s="162">
        <v>26.53</v>
      </c>
      <c r="H357" s="313">
        <f t="shared" si="83"/>
        <v>34.18</v>
      </c>
      <c r="I357" s="313">
        <f t="shared" si="84"/>
        <v>649.41999999999996</v>
      </c>
      <c r="K357" s="986">
        <f>I357/[1]ORÇ!$I$540</f>
        <v>1.1072372413515745E-4</v>
      </c>
    </row>
    <row r="358" spans="1:11" s="109" customFormat="1" ht="25.5" x14ac:dyDescent="0.2">
      <c r="A358" s="1399" t="s">
        <v>921</v>
      </c>
      <c r="B358" s="1359" t="s">
        <v>282</v>
      </c>
      <c r="C358" s="1402">
        <v>89517</v>
      </c>
      <c r="D358" s="1348" t="s">
        <v>975</v>
      </c>
      <c r="E358" s="108" t="s">
        <v>96</v>
      </c>
      <c r="F358" s="322">
        <f>'INS. HID. 15'!D193</f>
        <v>1</v>
      </c>
      <c r="G358" s="162">
        <v>81.83</v>
      </c>
      <c r="H358" s="313">
        <f t="shared" si="83"/>
        <v>105.41</v>
      </c>
      <c r="I358" s="313">
        <f t="shared" si="84"/>
        <v>105.41</v>
      </c>
      <c r="K358" s="986">
        <f>I358/[1]ORÇ!$I$540</f>
        <v>1.7972017740579205E-5</v>
      </c>
    </row>
    <row r="359" spans="1:11" s="109" customFormat="1" ht="38.25" x14ac:dyDescent="0.2">
      <c r="A359" s="1399" t="s">
        <v>922</v>
      </c>
      <c r="B359" s="1359" t="s">
        <v>282</v>
      </c>
      <c r="C359" s="1402">
        <v>89748</v>
      </c>
      <c r="D359" s="1348" t="s">
        <v>238</v>
      </c>
      <c r="E359" s="108" t="s">
        <v>96</v>
      </c>
      <c r="F359" s="322">
        <f>'INS. HID. 15'!D198</f>
        <v>16</v>
      </c>
      <c r="G359" s="162">
        <v>37.799999999999997</v>
      </c>
      <c r="H359" s="313">
        <f t="shared" si="83"/>
        <v>48.69</v>
      </c>
      <c r="I359" s="313">
        <f t="shared" si="84"/>
        <v>779.04</v>
      </c>
      <c r="K359" s="986">
        <f>I359/[1]ORÇ!$I$540</f>
        <v>1.3282345793208257E-4</v>
      </c>
    </row>
    <row r="360" spans="1:11" s="109" customFormat="1" ht="38.25" x14ac:dyDescent="0.2">
      <c r="A360" s="1399" t="s">
        <v>923</v>
      </c>
      <c r="B360" s="1516" t="s">
        <v>282</v>
      </c>
      <c r="C360" s="1504">
        <v>89724</v>
      </c>
      <c r="D360" s="1500" t="s">
        <v>549</v>
      </c>
      <c r="E360" s="108" t="s">
        <v>96</v>
      </c>
      <c r="F360" s="322">
        <f>'INS. HID. 15'!D202</f>
        <v>19</v>
      </c>
      <c r="G360" s="162">
        <v>9.3000000000000007</v>
      </c>
      <c r="H360" s="313">
        <f t="shared" si="83"/>
        <v>11.98</v>
      </c>
      <c r="I360" s="313">
        <f t="shared" si="84"/>
        <v>227.62</v>
      </c>
      <c r="K360" s="986">
        <f>I360/[1]ORÇ!$I$540</f>
        <v>3.8808373760654959E-5</v>
      </c>
    </row>
    <row r="361" spans="1:11" s="109" customFormat="1" ht="38.25" x14ac:dyDescent="0.2">
      <c r="A361" s="1399" t="s">
        <v>924</v>
      </c>
      <c r="B361" s="1516" t="s">
        <v>282</v>
      </c>
      <c r="C361" s="1504">
        <v>89801</v>
      </c>
      <c r="D361" s="1500" t="s">
        <v>1418</v>
      </c>
      <c r="E361" s="108" t="s">
        <v>96</v>
      </c>
      <c r="F361" s="322">
        <f>'INS. HID. 15'!D206</f>
        <v>19</v>
      </c>
      <c r="G361" s="162">
        <v>6.64</v>
      </c>
      <c r="H361" s="313">
        <f t="shared" si="83"/>
        <v>8.5500000000000007</v>
      </c>
      <c r="I361" s="313">
        <f t="shared" si="84"/>
        <v>162.44999999999999</v>
      </c>
      <c r="K361" s="986">
        <f>I361/[1]ORÇ!$I$540</f>
        <v>2.7697128184774613E-5</v>
      </c>
    </row>
    <row r="362" spans="1:11" s="109" customFormat="1" ht="38.25" x14ac:dyDescent="0.2">
      <c r="A362" s="1399" t="s">
        <v>925</v>
      </c>
      <c r="B362" s="1516" t="s">
        <v>282</v>
      </c>
      <c r="C362" s="1504">
        <v>89726</v>
      </c>
      <c r="D362" s="1500" t="s">
        <v>1419</v>
      </c>
      <c r="E362" s="108" t="s">
        <v>96</v>
      </c>
      <c r="F362" s="322">
        <f>'INS. HID. 15'!D210</f>
        <v>29</v>
      </c>
      <c r="G362" s="162">
        <v>6.47</v>
      </c>
      <c r="H362" s="313">
        <f t="shared" si="83"/>
        <v>8.33</v>
      </c>
      <c r="I362" s="313">
        <f t="shared" si="84"/>
        <v>241.57</v>
      </c>
      <c r="K362" s="986">
        <f>I362/[1]ORÇ!$I$540</f>
        <v>4.1186797510594051E-5</v>
      </c>
    </row>
    <row r="363" spans="1:11" s="109" customFormat="1" ht="38.25" x14ac:dyDescent="0.2">
      <c r="A363" s="1399" t="s">
        <v>971</v>
      </c>
      <c r="B363" s="1516" t="s">
        <v>282</v>
      </c>
      <c r="C363" s="1504">
        <v>89802</v>
      </c>
      <c r="D363" s="1500" t="s">
        <v>1420</v>
      </c>
      <c r="E363" s="108" t="s">
        <v>96</v>
      </c>
      <c r="F363" s="322">
        <f>'INS. HID. 15'!D214</f>
        <v>14</v>
      </c>
      <c r="G363" s="162">
        <v>7.31</v>
      </c>
      <c r="H363" s="313">
        <f t="shared" si="83"/>
        <v>9.42</v>
      </c>
      <c r="I363" s="313">
        <f t="shared" si="84"/>
        <v>131.88</v>
      </c>
      <c r="K363" s="986">
        <f>I363/[1]ORÇ!$I$540</f>
        <v>2.2485055494047866E-5</v>
      </c>
    </row>
    <row r="364" spans="1:11" s="109" customFormat="1" x14ac:dyDescent="0.2">
      <c r="A364" s="1399" t="s">
        <v>976</v>
      </c>
      <c r="B364" s="1359" t="s">
        <v>621</v>
      </c>
      <c r="C364" s="1402">
        <v>180242</v>
      </c>
      <c r="D364" s="1348" t="s">
        <v>972</v>
      </c>
      <c r="E364" s="108" t="s">
        <v>96</v>
      </c>
      <c r="F364" s="322">
        <f>'INS. HID. 15'!D218</f>
        <v>3</v>
      </c>
      <c r="G364" s="162">
        <v>25.2</v>
      </c>
      <c r="H364" s="313">
        <f t="shared" si="83"/>
        <v>32.46</v>
      </c>
      <c r="I364" s="313">
        <f t="shared" si="84"/>
        <v>97.38</v>
      </c>
      <c r="K364" s="986">
        <f>I364/[1]ORÇ!$I$540</f>
        <v>1.6602932241510321E-5</v>
      </c>
    </row>
    <row r="365" spans="1:11" s="109" customFormat="1" x14ac:dyDescent="0.2">
      <c r="A365" s="1399" t="s">
        <v>977</v>
      </c>
      <c r="B365" s="1359" t="s">
        <v>621</v>
      </c>
      <c r="C365" s="1402">
        <v>180241</v>
      </c>
      <c r="D365" s="1348" t="s">
        <v>973</v>
      </c>
      <c r="E365" s="108" t="s">
        <v>96</v>
      </c>
      <c r="F365" s="322">
        <f>'INS. HID. 15'!D222</f>
        <v>7</v>
      </c>
      <c r="G365" s="162">
        <v>33.880000000000003</v>
      </c>
      <c r="H365" s="313">
        <f t="shared" si="83"/>
        <v>43.64</v>
      </c>
      <c r="I365" s="313">
        <f t="shared" si="84"/>
        <v>305.48</v>
      </c>
      <c r="K365" s="986">
        <f>I365/[1]ORÇ!$I$540</f>
        <v>5.2083217715512152E-5</v>
      </c>
    </row>
    <row r="366" spans="1:11" s="109" customFormat="1" ht="38.25" x14ac:dyDescent="0.2">
      <c r="A366" s="1399" t="s">
        <v>978</v>
      </c>
      <c r="B366" s="1359" t="s">
        <v>282</v>
      </c>
      <c r="C366" s="1402">
        <v>89783</v>
      </c>
      <c r="D366" s="1348" t="s">
        <v>547</v>
      </c>
      <c r="E366" s="68" t="s">
        <v>96</v>
      </c>
      <c r="F366" s="322">
        <f>'INS. HID. 15'!D226</f>
        <v>13</v>
      </c>
      <c r="G366" s="162">
        <v>11.12</v>
      </c>
      <c r="H366" s="313">
        <f t="shared" si="83"/>
        <v>14.32</v>
      </c>
      <c r="I366" s="313">
        <f t="shared" si="84"/>
        <v>186.16</v>
      </c>
      <c r="K366" s="986">
        <f>I366/[1]ORÇ!$I$540</f>
        <v>3.1739596078040268E-5</v>
      </c>
    </row>
    <row r="367" spans="1:11" s="109" customFormat="1" ht="38.25" x14ac:dyDescent="0.2">
      <c r="A367" s="1399" t="s">
        <v>979</v>
      </c>
      <c r="B367" s="1359" t="s">
        <v>282</v>
      </c>
      <c r="C367" s="1402">
        <v>89827</v>
      </c>
      <c r="D367" s="1348" t="s">
        <v>982</v>
      </c>
      <c r="E367" s="68" t="s">
        <v>96</v>
      </c>
      <c r="F367" s="322">
        <f>'INS. HID. 15'!D230</f>
        <v>2</v>
      </c>
      <c r="G367" s="162">
        <v>16.690000000000001</v>
      </c>
      <c r="H367" s="313">
        <f t="shared" si="83"/>
        <v>21.5</v>
      </c>
      <c r="I367" s="313">
        <f t="shared" si="84"/>
        <v>43</v>
      </c>
      <c r="K367" s="986">
        <f>I367/[1]ORÇ!$I$540</f>
        <v>7.3313420249018677E-6</v>
      </c>
    </row>
    <row r="368" spans="1:11" s="109" customFormat="1" ht="38.25" x14ac:dyDescent="0.2">
      <c r="A368" s="1399" t="s">
        <v>980</v>
      </c>
      <c r="B368" s="1359" t="s">
        <v>282</v>
      </c>
      <c r="C368" s="1402">
        <v>89830</v>
      </c>
      <c r="D368" s="1348" t="s">
        <v>983</v>
      </c>
      <c r="E368" s="68" t="s">
        <v>96</v>
      </c>
      <c r="F368" s="322">
        <f>'INS. HID. 15'!D234</f>
        <v>3</v>
      </c>
      <c r="G368" s="162">
        <v>29.27</v>
      </c>
      <c r="H368" s="313">
        <f t="shared" si="83"/>
        <v>37.71</v>
      </c>
      <c r="I368" s="313">
        <f t="shared" si="84"/>
        <v>113.13</v>
      </c>
      <c r="K368" s="986">
        <f>I368/[1]ORÇ!$I$540</f>
        <v>1.928824937853833E-5</v>
      </c>
    </row>
    <row r="369" spans="1:15" s="109" customFormat="1" ht="38.25" x14ac:dyDescent="0.2">
      <c r="A369" s="1399" t="s">
        <v>981</v>
      </c>
      <c r="B369" s="1516" t="s">
        <v>282</v>
      </c>
      <c r="C369" s="1506">
        <v>89834</v>
      </c>
      <c r="D369" s="1500" t="s">
        <v>315</v>
      </c>
      <c r="E369" s="68" t="s">
        <v>96</v>
      </c>
      <c r="F369" s="322">
        <f>'INS. HID. 15'!D238</f>
        <v>10</v>
      </c>
      <c r="G369" s="162">
        <v>38.58</v>
      </c>
      <c r="H369" s="313">
        <f t="shared" si="83"/>
        <v>49.7</v>
      </c>
      <c r="I369" s="313">
        <f t="shared" si="84"/>
        <v>497</v>
      </c>
      <c r="K369" s="986">
        <f>I369/[1]ORÇ!$I$540</f>
        <v>8.4736674101772744E-5</v>
      </c>
    </row>
    <row r="370" spans="1:15" s="109" customFormat="1" x14ac:dyDescent="0.2">
      <c r="A370" s="1399" t="s">
        <v>986</v>
      </c>
      <c r="B370" s="1516" t="s">
        <v>621</v>
      </c>
      <c r="C370" s="1506">
        <v>180252</v>
      </c>
      <c r="D370" s="1500" t="s">
        <v>1421</v>
      </c>
      <c r="E370" s="68" t="s">
        <v>96</v>
      </c>
      <c r="F370" s="322">
        <f>'INS. HID. 15'!D242</f>
        <v>4</v>
      </c>
      <c r="G370" s="162">
        <v>39.03</v>
      </c>
      <c r="H370" s="313">
        <f t="shared" si="83"/>
        <v>50.28</v>
      </c>
      <c r="I370" s="313">
        <f t="shared" si="84"/>
        <v>201.12</v>
      </c>
      <c r="K370" s="986">
        <f>I370/[1]ORÇ!$I$540</f>
        <v>3.429022111740148E-5</v>
      </c>
    </row>
    <row r="371" spans="1:15" s="109" customFormat="1" ht="25.5" x14ac:dyDescent="0.2">
      <c r="A371" s="1399" t="s">
        <v>987</v>
      </c>
      <c r="B371" s="1820" t="str">
        <f>COMPOSIÇÕES!A688</f>
        <v>COMPOSIÇÃO 65</v>
      </c>
      <c r="C371" s="1821"/>
      <c r="D371" s="1407" t="str">
        <f>COMPOSIÇÕES!C687</f>
        <v>TERMINAL DE VENTILACAO, 50 MM, SERIE NORMAL, ESGOTO PREDIAL. FORNECIMENTO E INSTALAÇÃO.</v>
      </c>
      <c r="E371" s="68" t="s">
        <v>96</v>
      </c>
      <c r="F371" s="322">
        <f>'INS. HID. 15'!D246</f>
        <v>6</v>
      </c>
      <c r="G371" s="162">
        <f>COMPOSIÇÕES!M696</f>
        <v>31.97</v>
      </c>
      <c r="H371" s="313">
        <f t="shared" si="83"/>
        <v>41.18</v>
      </c>
      <c r="I371" s="313">
        <f t="shared" si="84"/>
        <v>247.08</v>
      </c>
      <c r="K371" s="986">
        <f>I371/[1]ORÇ!$I$540</f>
        <v>4.2126232267738452E-5</v>
      </c>
    </row>
    <row r="372" spans="1:15" s="109" customFormat="1" x14ac:dyDescent="0.2">
      <c r="A372" s="1405" t="s">
        <v>926</v>
      </c>
      <c r="B372" s="1405"/>
      <c r="C372" s="1405"/>
      <c r="D372" s="1393" t="s">
        <v>237</v>
      </c>
      <c r="E372" s="112"/>
      <c r="F372" s="322"/>
      <c r="G372" s="162"/>
      <c r="H372" s="313"/>
      <c r="I372" s="162"/>
      <c r="K372" s="986"/>
    </row>
    <row r="373" spans="1:15" s="109" customFormat="1" ht="38.25" x14ac:dyDescent="0.2">
      <c r="A373" s="1399" t="s">
        <v>927</v>
      </c>
      <c r="B373" s="1516" t="s">
        <v>282</v>
      </c>
      <c r="C373" s="108">
        <v>89707</v>
      </c>
      <c r="D373" s="1500" t="s">
        <v>241</v>
      </c>
      <c r="E373" s="112" t="s">
        <v>96</v>
      </c>
      <c r="F373" s="322">
        <f>'INS. HID. 15'!D252</f>
        <v>4</v>
      </c>
      <c r="G373" s="162">
        <v>37.19</v>
      </c>
      <c r="H373" s="313">
        <f t="shared" ref="H373:H379" si="85">ROUND((G373*$K$11),2)</f>
        <v>47.91</v>
      </c>
      <c r="I373" s="313">
        <f t="shared" ref="I373:I379" si="86">ROUND(((F373*H373)),2)</f>
        <v>191.64</v>
      </c>
      <c r="K373" s="986">
        <f>I373/[1]ORÇ!$I$540</f>
        <v>3.2673915945399859E-5</v>
      </c>
    </row>
    <row r="374" spans="1:15" s="109" customFormat="1" ht="38.25" x14ac:dyDescent="0.2">
      <c r="A374" s="1399" t="s">
        <v>928</v>
      </c>
      <c r="B374" s="1516" t="s">
        <v>282</v>
      </c>
      <c r="C374" s="1503">
        <v>89491</v>
      </c>
      <c r="D374" s="1499" t="s">
        <v>988</v>
      </c>
      <c r="E374" s="112" t="s">
        <v>96</v>
      </c>
      <c r="F374" s="322">
        <f>'INS. HID. 15'!D257</f>
        <v>7</v>
      </c>
      <c r="G374" s="162">
        <v>79.83</v>
      </c>
      <c r="H374" s="313">
        <f t="shared" si="85"/>
        <v>102.84</v>
      </c>
      <c r="I374" s="313">
        <f t="shared" si="86"/>
        <v>719.88</v>
      </c>
      <c r="K374" s="986">
        <f>I374/[1]ORÇ!$I$540</f>
        <v>1.2273689527642689E-4</v>
      </c>
    </row>
    <row r="375" spans="1:15" s="109" customFormat="1" ht="25.5" x14ac:dyDescent="0.2">
      <c r="A375" s="1399" t="s">
        <v>929</v>
      </c>
      <c r="B375" s="1516" t="s">
        <v>282</v>
      </c>
      <c r="C375" s="1503">
        <v>97897</v>
      </c>
      <c r="D375" s="1499" t="s">
        <v>550</v>
      </c>
      <c r="E375" s="112" t="s">
        <v>96</v>
      </c>
      <c r="F375" s="322">
        <f>'INS. HID. 15'!D268</f>
        <v>21</v>
      </c>
      <c r="G375" s="162">
        <v>385.13</v>
      </c>
      <c r="H375" s="313">
        <f t="shared" si="85"/>
        <v>496.12</v>
      </c>
      <c r="I375" s="313">
        <f t="shared" si="86"/>
        <v>10418.52</v>
      </c>
      <c r="K375" s="986">
        <f>I375/[1]ORÇ!$I$540</f>
        <v>1.7763193840297817E-3</v>
      </c>
    </row>
    <row r="376" spans="1:15" s="109" customFormat="1" ht="38.25" x14ac:dyDescent="0.2">
      <c r="A376" s="1399" t="s">
        <v>930</v>
      </c>
      <c r="B376" s="1516" t="s">
        <v>282</v>
      </c>
      <c r="C376" s="1503">
        <v>98107</v>
      </c>
      <c r="D376" s="1499" t="s">
        <v>316</v>
      </c>
      <c r="E376" s="112" t="s">
        <v>96</v>
      </c>
      <c r="F376" s="322">
        <f>'INS. HID. 15'!D273</f>
        <v>4</v>
      </c>
      <c r="G376" s="162">
        <v>239.61</v>
      </c>
      <c r="H376" s="313">
        <f t="shared" si="85"/>
        <v>308.67</v>
      </c>
      <c r="I376" s="313">
        <f t="shared" si="86"/>
        <v>1234.68</v>
      </c>
      <c r="K376" s="986">
        <f>I376/[1]ORÇ!$I$540</f>
        <v>2.1050840398385671E-4</v>
      </c>
    </row>
    <row r="377" spans="1:15" s="109" customFormat="1" ht="38.25" x14ac:dyDescent="0.2">
      <c r="A377" s="1399" t="s">
        <v>931</v>
      </c>
      <c r="B377" s="1516" t="s">
        <v>282</v>
      </c>
      <c r="C377" s="108">
        <v>98054</v>
      </c>
      <c r="D377" s="1396" t="s">
        <v>1422</v>
      </c>
      <c r="E377" s="112" t="s">
        <v>96</v>
      </c>
      <c r="F377" s="322">
        <f>'INS. HID. 15'!D277</f>
        <v>2</v>
      </c>
      <c r="G377" s="162">
        <v>4037.95</v>
      </c>
      <c r="H377" s="313">
        <f t="shared" si="85"/>
        <v>5201.6899999999996</v>
      </c>
      <c r="I377" s="313">
        <f t="shared" si="86"/>
        <v>10403.379999999999</v>
      </c>
      <c r="K377" s="986">
        <f>I377/[1]ORÇ!$I$540</f>
        <v>1.7737380696517112E-3</v>
      </c>
      <c r="O377" s="287">
        <f>[1]ORÇ!M546/[1]ORÇ!I540</f>
        <v>0</v>
      </c>
    </row>
    <row r="378" spans="1:15" s="109" customFormat="1" ht="38.25" x14ac:dyDescent="0.2">
      <c r="A378" s="1399" t="s">
        <v>932</v>
      </c>
      <c r="B378" s="1516" t="s">
        <v>282</v>
      </c>
      <c r="C378" s="1515">
        <v>98062</v>
      </c>
      <c r="D378" s="1519" t="s">
        <v>267</v>
      </c>
      <c r="E378" s="113" t="s">
        <v>96</v>
      </c>
      <c r="F378" s="867">
        <f>'INS. HID. 15'!D281</f>
        <v>2</v>
      </c>
      <c r="G378" s="323">
        <v>2700.43</v>
      </c>
      <c r="H378" s="313">
        <f t="shared" si="85"/>
        <v>3478.69</v>
      </c>
      <c r="I378" s="313">
        <f t="shared" si="86"/>
        <v>6957.38</v>
      </c>
      <c r="K378" s="986">
        <f>I378/[1]ORÇ!$I$540</f>
        <v>1.186207729702599E-3</v>
      </c>
    </row>
    <row r="379" spans="1:15" s="109" customFormat="1" ht="38.25" x14ac:dyDescent="0.2">
      <c r="A379" s="1399" t="s">
        <v>989</v>
      </c>
      <c r="B379" s="1516" t="s">
        <v>282</v>
      </c>
      <c r="C379" s="1515">
        <v>98090</v>
      </c>
      <c r="D379" s="1519" t="s">
        <v>1281</v>
      </c>
      <c r="E379" s="113" t="s">
        <v>96</v>
      </c>
      <c r="F379" s="867">
        <f>'INS. HID. 15'!D285</f>
        <v>2</v>
      </c>
      <c r="G379" s="323">
        <v>7356.07</v>
      </c>
      <c r="H379" s="313">
        <f t="shared" si="85"/>
        <v>9476.09</v>
      </c>
      <c r="I379" s="313">
        <f t="shared" si="86"/>
        <v>18952.18</v>
      </c>
      <c r="K379" s="986">
        <f>I379/[1]ORÇ!$I$540</f>
        <v>3.231277062732667E-3</v>
      </c>
    </row>
    <row r="380" spans="1:15" s="109" customFormat="1" ht="12.75" customHeight="1" x14ac:dyDescent="0.2">
      <c r="A380" s="1817" t="s">
        <v>1156</v>
      </c>
      <c r="B380" s="1818"/>
      <c r="C380" s="1818"/>
      <c r="D380" s="1818"/>
      <c r="E380" s="1818"/>
      <c r="F380" s="1818"/>
      <c r="G380" s="1818"/>
      <c r="H380" s="1819"/>
      <c r="I380" s="141">
        <f>SUM(I317:I379)</f>
        <v>132995.63000000003</v>
      </c>
      <c r="K380" s="751"/>
    </row>
    <row r="381" spans="1:15" s="109" customFormat="1" ht="13.5" thickBot="1" x14ac:dyDescent="0.25">
      <c r="A381" s="105"/>
      <c r="B381" s="105"/>
      <c r="C381" s="105"/>
      <c r="D381" s="3"/>
      <c r="E381" s="105"/>
      <c r="F381" s="106"/>
      <c r="G381" s="105"/>
      <c r="H381" s="105"/>
      <c r="I381" s="107"/>
      <c r="K381" s="751"/>
    </row>
    <row r="382" spans="1:15" s="109" customFormat="1" ht="13.5" thickBot="1" x14ac:dyDescent="0.25">
      <c r="A382" s="90">
        <v>15</v>
      </c>
      <c r="B382" s="90"/>
      <c r="C382" s="90"/>
      <c r="D382" s="1827" t="s">
        <v>46</v>
      </c>
      <c r="E382" s="1828"/>
      <c r="F382" s="1828"/>
      <c r="G382" s="1828"/>
      <c r="H382" s="1828"/>
      <c r="I382" s="1829"/>
      <c r="J382" s="94">
        <f>I407/$I$488</f>
        <v>1.0694867221077441E-2</v>
      </c>
      <c r="K382" s="751"/>
    </row>
    <row r="383" spans="1:15" s="109" customFormat="1" ht="25.5" x14ac:dyDescent="0.2">
      <c r="A383" s="575" t="s">
        <v>29</v>
      </c>
      <c r="B383" s="575" t="s">
        <v>282</v>
      </c>
      <c r="C383" s="575">
        <v>101909</v>
      </c>
      <c r="D383" s="18" t="s">
        <v>586</v>
      </c>
      <c r="E383" s="114" t="s">
        <v>96</v>
      </c>
      <c r="F383" s="894">
        <f>'INC. 14'!C16</f>
        <v>5</v>
      </c>
      <c r="G383" s="324">
        <v>230.11</v>
      </c>
      <c r="H383" s="313">
        <f t="shared" ref="H383:H406" si="87">ROUND((G383*$K$11),2)</f>
        <v>296.43</v>
      </c>
      <c r="I383" s="313">
        <f t="shared" ref="I383:I406" si="88">ROUND(((F383*H383)),2)</f>
        <v>1482.15</v>
      </c>
      <c r="K383" s="751">
        <f t="shared" ref="K383:K391" si="89">I383/$I$488</f>
        <v>3.9745653880526145E-4</v>
      </c>
    </row>
    <row r="384" spans="1:15" s="109" customFormat="1" ht="38.25" x14ac:dyDescent="0.2">
      <c r="A384" s="958" t="s">
        <v>259</v>
      </c>
      <c r="B384" s="1824" t="str">
        <f>COMPOSIÇÕES!A405</f>
        <v>COMPOSIÇÃO 41</v>
      </c>
      <c r="C384" s="1825"/>
      <c r="D384" s="608" t="str">
        <f>COMPOSIÇÕES!C404</f>
        <v xml:space="preserve">PLACA DE SINALIZACAO DE SEGURANCA CONTRA INCENDIO, FOTOLUMINESCENTE, RETANGULAR, *20 X 40* CM, EM PVC *2* MM ANTI-CHAMAS (SIMBOLOS, CORES E PICTOGRAMAS CONFORME NBR 13434) </v>
      </c>
      <c r="E384" s="68" t="s">
        <v>96</v>
      </c>
      <c r="F384" s="322">
        <f>'INC. 14'!C21</f>
        <v>17</v>
      </c>
      <c r="G384" s="162">
        <f>COMPOSIÇÕES!M409</f>
        <v>34.190000000000005</v>
      </c>
      <c r="H384" s="162">
        <f t="shared" si="87"/>
        <v>44.04</v>
      </c>
      <c r="I384" s="162">
        <f t="shared" si="88"/>
        <v>748.68</v>
      </c>
      <c r="K384" s="751">
        <f t="shared" si="89"/>
        <v>2.0076764259536694E-4</v>
      </c>
    </row>
    <row r="385" spans="1:14" s="109" customFormat="1" ht="38.25" x14ac:dyDescent="0.2">
      <c r="A385" s="958" t="s">
        <v>328</v>
      </c>
      <c r="B385" s="1824" t="str">
        <f>COMPOSIÇÕES!A413</f>
        <v>COMPOSIÇÃO 42</v>
      </c>
      <c r="C385" s="1825"/>
      <c r="D385" s="608" t="str">
        <f>COMPOSIÇÕES!C412</f>
        <v>PLACA DE SINALIZACAO DE SEGURANCA CONTRA INCENDIO, FOTOLUMINESCENTE, QUADRADA, *20 X 20* CM, EM PVC *2* MM ANTI-CHAMAS (SIMBOLOS, CORES E PICTOGRAMAS CONFORME NBR 13434)</v>
      </c>
      <c r="E385" s="68" t="s">
        <v>96</v>
      </c>
      <c r="F385" s="322">
        <f>'INC. 14'!C25</f>
        <v>10</v>
      </c>
      <c r="G385" s="162">
        <f>COMPOSIÇÕES!M417</f>
        <v>22.509999999999998</v>
      </c>
      <c r="H385" s="162">
        <f t="shared" si="87"/>
        <v>29</v>
      </c>
      <c r="I385" s="162">
        <f t="shared" si="88"/>
        <v>290</v>
      </c>
      <c r="K385" s="751">
        <f t="shared" si="89"/>
        <v>7.7767025101053075E-5</v>
      </c>
    </row>
    <row r="386" spans="1:14" s="109" customFormat="1" ht="25.5" x14ac:dyDescent="0.2">
      <c r="A386" s="958" t="s">
        <v>329</v>
      </c>
      <c r="B386" s="575" t="s">
        <v>282</v>
      </c>
      <c r="C386" s="574">
        <v>97599</v>
      </c>
      <c r="D386" s="12" t="s">
        <v>261</v>
      </c>
      <c r="E386" s="68" t="s">
        <v>96</v>
      </c>
      <c r="F386" s="322">
        <f>'INC. 14'!C29</f>
        <v>20</v>
      </c>
      <c r="G386" s="162">
        <v>28.97</v>
      </c>
      <c r="H386" s="313">
        <f t="shared" si="87"/>
        <v>37.32</v>
      </c>
      <c r="I386" s="313">
        <f t="shared" si="88"/>
        <v>746.4</v>
      </c>
      <c r="K386" s="751">
        <f t="shared" si="89"/>
        <v>2.0015623288077936E-4</v>
      </c>
    </row>
    <row r="387" spans="1:14" s="166" customFormat="1" ht="25.5" x14ac:dyDescent="0.2">
      <c r="A387" s="958" t="s">
        <v>766</v>
      </c>
      <c r="B387" s="1822" t="str">
        <f>COMPOSIÇÕES!A568</f>
        <v>COMPOSIÇÃO 54</v>
      </c>
      <c r="C387" s="1823"/>
      <c r="D387" s="67" t="str">
        <f>COMPOSIÇÕES!C567</f>
        <v>SERVIÇO DE SINALIZAÇÃO DE SOLO PARA EQUIPAMENTOS DE COMBATE A INCENDIO, E = 5 CM.</v>
      </c>
      <c r="E387" s="68" t="s">
        <v>17</v>
      </c>
      <c r="F387" s="322">
        <f>'INC. 14'!G34</f>
        <v>20</v>
      </c>
      <c r="G387" s="162">
        <f>COMPOSIÇÕES!M574</f>
        <v>7.65</v>
      </c>
      <c r="H387" s="313">
        <f t="shared" si="87"/>
        <v>9.85</v>
      </c>
      <c r="I387" s="313">
        <f t="shared" si="88"/>
        <v>197</v>
      </c>
      <c r="J387" s="109"/>
      <c r="K387" s="751">
        <f t="shared" si="89"/>
        <v>5.2827944637611915E-5</v>
      </c>
    </row>
    <row r="388" spans="1:14" s="166" customFormat="1" ht="56.25" customHeight="1" x14ac:dyDescent="0.2">
      <c r="A388" s="958" t="s">
        <v>933</v>
      </c>
      <c r="B388" s="68" t="s">
        <v>282</v>
      </c>
      <c r="C388" s="68">
        <v>101912</v>
      </c>
      <c r="D388" s="1110" t="s">
        <v>1284</v>
      </c>
      <c r="E388" s="68" t="s">
        <v>96</v>
      </c>
      <c r="F388" s="322">
        <f>'INC. 14'!C38</f>
        <v>1</v>
      </c>
      <c r="G388" s="162">
        <v>1717.01</v>
      </c>
      <c r="H388" s="313">
        <f t="shared" si="87"/>
        <v>2211.85</v>
      </c>
      <c r="I388" s="313">
        <f t="shared" si="88"/>
        <v>2211.85</v>
      </c>
      <c r="J388" s="109"/>
      <c r="K388" s="751">
        <f t="shared" si="89"/>
        <v>5.9313446368884214E-4</v>
      </c>
      <c r="N388" s="1108">
        <f>I386+I388+I390+I391+I393+I394+I395+I402+I403+I404+I405+I406</f>
        <v>21166.19</v>
      </c>
    </row>
    <row r="389" spans="1:14" s="166" customFormat="1" ht="25.5" x14ac:dyDescent="0.2">
      <c r="A389" s="958" t="s">
        <v>1112</v>
      </c>
      <c r="B389" s="958" t="s">
        <v>282</v>
      </c>
      <c r="C389" s="68">
        <v>94500</v>
      </c>
      <c r="D389" s="67" t="s">
        <v>1104</v>
      </c>
      <c r="E389" s="68" t="s">
        <v>96</v>
      </c>
      <c r="F389" s="322">
        <f>'INC. 14'!C42</f>
        <v>2</v>
      </c>
      <c r="G389" s="162">
        <v>357.17</v>
      </c>
      <c r="H389" s="313">
        <f t="shared" si="87"/>
        <v>460.11</v>
      </c>
      <c r="I389" s="313">
        <f t="shared" si="88"/>
        <v>920.22</v>
      </c>
      <c r="J389" s="109"/>
      <c r="K389" s="751">
        <f t="shared" si="89"/>
        <v>2.4676817875341747E-4</v>
      </c>
      <c r="N389" s="166">
        <f>N388/I407</f>
        <v>0.53071917745534392</v>
      </c>
    </row>
    <row r="390" spans="1:14" s="166" customFormat="1" ht="38.25" x14ac:dyDescent="0.2">
      <c r="A390" s="958" t="s">
        <v>1113</v>
      </c>
      <c r="B390" s="958" t="s">
        <v>282</v>
      </c>
      <c r="C390" s="68">
        <v>92367</v>
      </c>
      <c r="D390" s="67" t="s">
        <v>1105</v>
      </c>
      <c r="E390" s="68" t="s">
        <v>17</v>
      </c>
      <c r="F390" s="322">
        <f>'INC. 14'!C46</f>
        <v>67</v>
      </c>
      <c r="G390" s="162">
        <v>137.91999999999999</v>
      </c>
      <c r="H390" s="313">
        <f t="shared" si="87"/>
        <v>177.67</v>
      </c>
      <c r="I390" s="313">
        <f t="shared" si="88"/>
        <v>11903.89</v>
      </c>
      <c r="J390" s="109"/>
      <c r="K390" s="751">
        <f t="shared" si="89"/>
        <v>3.1921728014833606E-3</v>
      </c>
    </row>
    <row r="391" spans="1:14" s="166" customFormat="1" ht="38.25" x14ac:dyDescent="0.2">
      <c r="A391" s="958" t="s">
        <v>1114</v>
      </c>
      <c r="B391" s="958" t="s">
        <v>282</v>
      </c>
      <c r="C391" s="68">
        <v>92337</v>
      </c>
      <c r="D391" s="67" t="s">
        <v>1106</v>
      </c>
      <c r="E391" s="68" t="s">
        <v>17</v>
      </c>
      <c r="F391" s="322">
        <f>'INC. 14'!C50</f>
        <v>6</v>
      </c>
      <c r="G391" s="162">
        <v>186.21</v>
      </c>
      <c r="H391" s="313">
        <f t="shared" si="87"/>
        <v>239.88</v>
      </c>
      <c r="I391" s="313">
        <f t="shared" si="88"/>
        <v>1439.28</v>
      </c>
      <c r="J391" s="109"/>
      <c r="K391" s="751">
        <f t="shared" si="89"/>
        <v>3.8596042719808162E-4</v>
      </c>
    </row>
    <row r="392" spans="1:14" s="166" customFormat="1" ht="38.25" x14ac:dyDescent="0.2">
      <c r="A392" s="958" t="s">
        <v>1115</v>
      </c>
      <c r="B392" s="958" t="s">
        <v>282</v>
      </c>
      <c r="C392" s="68">
        <v>92353</v>
      </c>
      <c r="D392" s="67" t="s">
        <v>1475</v>
      </c>
      <c r="E392" s="68" t="s">
        <v>220</v>
      </c>
      <c r="F392" s="322">
        <f>'INC. 14'!C54</f>
        <v>6</v>
      </c>
      <c r="G392" s="162">
        <v>141.33000000000001</v>
      </c>
      <c r="H392" s="313">
        <f t="shared" ref="H392" si="90">ROUND((G392*$K$11),2)</f>
        <v>182.06</v>
      </c>
      <c r="I392" s="313">
        <f t="shared" ref="I392" si="91">ROUND(((F392*H392)),2)</f>
        <v>1092.3599999999999</v>
      </c>
      <c r="J392" s="109"/>
      <c r="K392" s="751"/>
    </row>
    <row r="393" spans="1:14" s="166" customFormat="1" ht="38.25" x14ac:dyDescent="0.2">
      <c r="A393" s="958" t="s">
        <v>1116</v>
      </c>
      <c r="B393" s="958" t="s">
        <v>282</v>
      </c>
      <c r="C393" s="68">
        <v>92357</v>
      </c>
      <c r="D393" s="67" t="s">
        <v>1474</v>
      </c>
      <c r="E393" s="68" t="s">
        <v>220</v>
      </c>
      <c r="F393" s="322">
        <f>'INC. 14'!C58</f>
        <v>1</v>
      </c>
      <c r="G393" s="162">
        <v>194.02</v>
      </c>
      <c r="H393" s="313">
        <f t="shared" si="87"/>
        <v>249.94</v>
      </c>
      <c r="I393" s="313">
        <f t="shared" si="88"/>
        <v>249.94</v>
      </c>
      <c r="J393" s="109"/>
      <c r="K393" s="751">
        <f t="shared" ref="K393:K406" si="92">I393/$I$488</f>
        <v>6.7024449150886908E-5</v>
      </c>
    </row>
    <row r="394" spans="1:14" s="166" customFormat="1" ht="38.25" x14ac:dyDescent="0.2">
      <c r="A394" s="958" t="s">
        <v>1117</v>
      </c>
      <c r="B394" s="958" t="s">
        <v>282</v>
      </c>
      <c r="C394" s="68">
        <v>92636</v>
      </c>
      <c r="D394" s="67" t="s">
        <v>1107</v>
      </c>
      <c r="E394" s="68" t="s">
        <v>96</v>
      </c>
      <c r="F394" s="322">
        <f>'INC. 14'!C62</f>
        <v>3</v>
      </c>
      <c r="G394" s="162">
        <v>190.09</v>
      </c>
      <c r="H394" s="313">
        <f t="shared" si="87"/>
        <v>244.87</v>
      </c>
      <c r="I394" s="313">
        <f t="shared" si="88"/>
        <v>734.61</v>
      </c>
      <c r="J394" s="109"/>
      <c r="K394" s="751">
        <f t="shared" si="92"/>
        <v>1.9699460106718827E-4</v>
      </c>
    </row>
    <row r="395" spans="1:14" s="166" customFormat="1" ht="25.5" x14ac:dyDescent="0.2">
      <c r="A395" s="958" t="s">
        <v>1118</v>
      </c>
      <c r="B395" s="1824" t="str">
        <f>COMPOSIÇÕES!A724</f>
        <v>COMPOSIÇÃO 68</v>
      </c>
      <c r="C395" s="1825"/>
      <c r="D395" s="67" t="str">
        <f>COMPOSIÇÕES!C723</f>
        <v>FORNECIMENTO E INSTALAÇÃO DE SIRENE INDUSTRIAL SONORA MOTORIZADA</v>
      </c>
      <c r="E395" s="68" t="s">
        <v>96</v>
      </c>
      <c r="F395" s="322">
        <f>'INC. 14'!C66</f>
        <v>2</v>
      </c>
      <c r="G395" s="162">
        <f>COMPOSIÇÕES!M730</f>
        <v>238.85</v>
      </c>
      <c r="H395" s="313">
        <f t="shared" si="87"/>
        <v>307.69</v>
      </c>
      <c r="I395" s="313">
        <f t="shared" si="88"/>
        <v>615.38</v>
      </c>
      <c r="J395" s="109"/>
      <c r="K395" s="751">
        <f t="shared" si="92"/>
        <v>1.6502162726443463E-4</v>
      </c>
    </row>
    <row r="396" spans="1:14" s="166" customFormat="1" ht="21" customHeight="1" x14ac:dyDescent="0.2">
      <c r="A396" s="958" t="s">
        <v>1119</v>
      </c>
      <c r="B396" s="958" t="s">
        <v>621</v>
      </c>
      <c r="C396" s="68">
        <v>200661</v>
      </c>
      <c r="D396" s="67" t="s">
        <v>1108</v>
      </c>
      <c r="E396" s="68" t="s">
        <v>96</v>
      </c>
      <c r="F396" s="322">
        <f>'INC. 14'!C70</f>
        <v>1</v>
      </c>
      <c r="G396" s="162">
        <v>1550.4</v>
      </c>
      <c r="H396" s="313">
        <f t="shared" si="87"/>
        <v>1997.23</v>
      </c>
      <c r="I396" s="313">
        <f t="shared" si="88"/>
        <v>1997.23</v>
      </c>
      <c r="J396" s="109"/>
      <c r="K396" s="751">
        <f t="shared" si="92"/>
        <v>5.3558150187095249E-4</v>
      </c>
    </row>
    <row r="397" spans="1:14" s="166" customFormat="1" x14ac:dyDescent="0.2">
      <c r="A397" s="958" t="s">
        <v>1120</v>
      </c>
      <c r="B397" s="1824" t="str">
        <f>COMPOSIÇÕES!A734</f>
        <v>COMPOSIÇÃO 69</v>
      </c>
      <c r="C397" s="1825"/>
      <c r="D397" s="67" t="str">
        <f>COMPOSIÇÕES!C733</f>
        <v>Fornecimento e instação de Acionador de Sirene</v>
      </c>
      <c r="E397" s="68" t="s">
        <v>96</v>
      </c>
      <c r="F397" s="322">
        <f>'INC. 14'!C74</f>
        <v>1</v>
      </c>
      <c r="G397" s="162">
        <f>COMPOSIÇÕES!M739</f>
        <v>463.15999999999997</v>
      </c>
      <c r="H397" s="313">
        <f t="shared" si="87"/>
        <v>596.64</v>
      </c>
      <c r="I397" s="313">
        <f t="shared" si="88"/>
        <v>596.64</v>
      </c>
      <c r="J397" s="109"/>
      <c r="K397" s="751">
        <f t="shared" si="92"/>
        <v>1.5999626846997347E-4</v>
      </c>
    </row>
    <row r="398" spans="1:14" s="166" customFormat="1" ht="25.5" x14ac:dyDescent="0.2">
      <c r="A398" s="958" t="s">
        <v>1121</v>
      </c>
      <c r="B398" s="1824" t="str">
        <f>COMPOSIÇÕES!A743</f>
        <v>COMPOSIÇÃO 70</v>
      </c>
      <c r="C398" s="1825"/>
      <c r="D398" s="67" t="str">
        <f>COMPOSIÇÕES!C742</f>
        <v>FORNECIMENTO E INSTALAÇÃO DE BOTOEIRA PARA ACIONAMENTO DE BOMBA DE INCENDIO QUEBRA VIDRO</v>
      </c>
      <c r="E398" s="68" t="s">
        <v>96</v>
      </c>
      <c r="F398" s="322">
        <f>'INC. 14'!C78</f>
        <v>2</v>
      </c>
      <c r="G398" s="162">
        <f>COMPOSIÇÕES!M748</f>
        <v>92.07</v>
      </c>
      <c r="H398" s="313">
        <f t="shared" si="87"/>
        <v>118.6</v>
      </c>
      <c r="I398" s="313">
        <f t="shared" si="88"/>
        <v>237.2</v>
      </c>
      <c r="J398" s="109"/>
      <c r="K398" s="751">
        <f t="shared" si="92"/>
        <v>6.3608063289550987E-5</v>
      </c>
    </row>
    <row r="399" spans="1:14" s="166" customFormat="1" ht="25.5" x14ac:dyDescent="0.2">
      <c r="A399" s="958" t="s">
        <v>1122</v>
      </c>
      <c r="B399" s="958" t="s">
        <v>282</v>
      </c>
      <c r="C399" s="68">
        <v>101917</v>
      </c>
      <c r="D399" s="67" t="s">
        <v>1109</v>
      </c>
      <c r="E399" s="68" t="s">
        <v>96</v>
      </c>
      <c r="F399" s="322">
        <f>'INC. 14'!C82</f>
        <v>1</v>
      </c>
      <c r="G399" s="162">
        <v>135.85</v>
      </c>
      <c r="H399" s="313">
        <f t="shared" si="87"/>
        <v>175</v>
      </c>
      <c r="I399" s="313">
        <f t="shared" si="88"/>
        <v>175</v>
      </c>
      <c r="J399" s="109"/>
      <c r="K399" s="751">
        <f t="shared" si="92"/>
        <v>4.6928377216152718E-5</v>
      </c>
    </row>
    <row r="400" spans="1:14" s="166" customFormat="1" x14ac:dyDescent="0.2">
      <c r="A400" s="958" t="s">
        <v>1123</v>
      </c>
      <c r="B400" s="958" t="s">
        <v>621</v>
      </c>
      <c r="C400" s="68">
        <v>180385</v>
      </c>
      <c r="D400" s="67" t="s">
        <v>1110</v>
      </c>
      <c r="E400" s="68" t="s">
        <v>96</v>
      </c>
      <c r="F400" s="322">
        <f>'INC. 14'!C86</f>
        <v>1</v>
      </c>
      <c r="G400" s="162">
        <v>8009.61</v>
      </c>
      <c r="H400" s="313">
        <f t="shared" si="87"/>
        <v>10317.98</v>
      </c>
      <c r="I400" s="313">
        <f t="shared" si="88"/>
        <v>10317.98</v>
      </c>
      <c r="J400" s="109"/>
      <c r="K400" s="751">
        <f t="shared" si="92"/>
        <v>2.7668917574212538E-3</v>
      </c>
    </row>
    <row r="401" spans="1:11" s="166" customFormat="1" ht="25.5" x14ac:dyDescent="0.2">
      <c r="A401" s="958" t="s">
        <v>1124</v>
      </c>
      <c r="B401" s="1826" t="str">
        <f>COMPOSIÇÕES!A752</f>
        <v>COMPOSIÇÃO 71</v>
      </c>
      <c r="C401" s="1825"/>
      <c r="D401" s="67" t="str">
        <f>COMPOSIÇÕES!C751</f>
        <v>FORNECIMENTO E INSTALAÇÃO DE PRESSOSTATO ALTA/BAIXA COM REARME MANUAL REF. KP15</v>
      </c>
      <c r="E401" s="68" t="s">
        <v>96</v>
      </c>
      <c r="F401" s="322">
        <f>'INC. 14'!C90</f>
        <v>1</v>
      </c>
      <c r="G401" s="162">
        <f>COMPOSIÇÕES!M757</f>
        <v>513.46</v>
      </c>
      <c r="H401" s="313">
        <f t="shared" si="87"/>
        <v>661.44</v>
      </c>
      <c r="I401" s="313">
        <f t="shared" si="88"/>
        <v>661.44</v>
      </c>
      <c r="J401" s="109"/>
      <c r="K401" s="751">
        <f t="shared" si="92"/>
        <v>1.7737317614772603E-4</v>
      </c>
    </row>
    <row r="402" spans="1:11" s="166" customFormat="1" x14ac:dyDescent="0.2">
      <c r="A402" s="958" t="s">
        <v>1125</v>
      </c>
      <c r="B402" s="1826" t="str">
        <f>COMPOSIÇÕES!A761</f>
        <v>COMPOSIÇÃO 72</v>
      </c>
      <c r="C402" s="1825"/>
      <c r="D402" s="67" t="str">
        <f>COMPOSIÇÕES!C760</f>
        <v>Fornecimento e instalação de União assento conico galvanizado 2.1/2"</v>
      </c>
      <c r="E402" s="68" t="s">
        <v>96</v>
      </c>
      <c r="F402" s="322">
        <f>'INC. 14'!C94</f>
        <v>1</v>
      </c>
      <c r="G402" s="162">
        <f>COMPOSIÇÕES!M768</f>
        <v>349.85999999999996</v>
      </c>
      <c r="H402" s="313">
        <f t="shared" si="87"/>
        <v>450.69</v>
      </c>
      <c r="I402" s="313">
        <f t="shared" si="88"/>
        <v>450.69</v>
      </c>
      <c r="J402" s="109"/>
      <c r="K402" s="751">
        <f t="shared" si="92"/>
        <v>1.2085800187170211E-4</v>
      </c>
    </row>
    <row r="403" spans="1:11" s="166" customFormat="1" x14ac:dyDescent="0.2">
      <c r="A403" s="958" t="s">
        <v>1126</v>
      </c>
      <c r="B403" s="1826" t="str">
        <f>COMPOSIÇÕES!A772</f>
        <v>COMPOSIÇÃO 73</v>
      </c>
      <c r="C403" s="1825"/>
      <c r="D403" s="67" t="str">
        <f>COMPOSIÇÕES!C771</f>
        <v>Fornecimento e instalação de União assento conico galvanizado 3"</v>
      </c>
      <c r="E403" s="68" t="s">
        <v>96</v>
      </c>
      <c r="F403" s="322">
        <f>'INC. 14'!C98</f>
        <v>1</v>
      </c>
      <c r="G403" s="162">
        <f>COMPOSIÇÕES!M779</f>
        <v>498.26</v>
      </c>
      <c r="H403" s="313">
        <f t="shared" si="87"/>
        <v>641.86</v>
      </c>
      <c r="I403" s="313">
        <f t="shared" si="88"/>
        <v>641.86</v>
      </c>
      <c r="J403" s="109"/>
      <c r="K403" s="751">
        <f t="shared" si="92"/>
        <v>1.7212256114262732E-4</v>
      </c>
    </row>
    <row r="404" spans="1:11" s="166" customFormat="1" ht="25.5" x14ac:dyDescent="0.2">
      <c r="A404" s="958" t="s">
        <v>1127</v>
      </c>
      <c r="B404" s="1826" t="str">
        <f>COMPOSIÇÕES!A783</f>
        <v>COMPOSIÇÃO 74</v>
      </c>
      <c r="C404" s="1825"/>
      <c r="D404" s="67" t="str">
        <f>COMPOSIÇÕES!C782</f>
        <v>FORNECIMENTO E INSTALAÇÃO DE TÊ DE REDUCAO DE FERRO GALVANIZADO, COM ROSCA BSP, DE 3" X 2 1/2"</v>
      </c>
      <c r="E404" s="68" t="s">
        <v>96</v>
      </c>
      <c r="F404" s="322">
        <f>'INC. 14'!C102</f>
        <v>1</v>
      </c>
      <c r="G404" s="162">
        <f>COMPOSIÇÕES!M790</f>
        <v>246.38000000000002</v>
      </c>
      <c r="H404" s="313">
        <f t="shared" si="87"/>
        <v>317.39</v>
      </c>
      <c r="I404" s="313">
        <f t="shared" si="88"/>
        <v>317.39</v>
      </c>
      <c r="J404" s="109"/>
      <c r="K404" s="751">
        <f t="shared" si="92"/>
        <v>8.5111986540769777E-5</v>
      </c>
    </row>
    <row r="405" spans="1:11" s="166" customFormat="1" ht="25.5" x14ac:dyDescent="0.2">
      <c r="A405" s="958" t="s">
        <v>1128</v>
      </c>
      <c r="B405" s="958" t="s">
        <v>282</v>
      </c>
      <c r="C405" s="68">
        <v>99624</v>
      </c>
      <c r="D405" s="616" t="s">
        <v>1111</v>
      </c>
      <c r="E405" s="68" t="s">
        <v>96</v>
      </c>
      <c r="F405" s="1105">
        <f>'INC. 14'!C106</f>
        <v>2</v>
      </c>
      <c r="G405" s="162">
        <v>425.51</v>
      </c>
      <c r="H405" s="313">
        <f t="shared" si="87"/>
        <v>548.14</v>
      </c>
      <c r="I405" s="313">
        <f t="shared" si="88"/>
        <v>1096.28</v>
      </c>
      <c r="J405" s="109"/>
      <c r="K405" s="751">
        <f t="shared" si="92"/>
        <v>2.939808078544223E-4</v>
      </c>
    </row>
    <row r="406" spans="1:11" s="166" customFormat="1" ht="25.5" x14ac:dyDescent="0.2">
      <c r="A406" s="958" t="s">
        <v>1473</v>
      </c>
      <c r="B406" s="958" t="s">
        <v>282</v>
      </c>
      <c r="C406" s="68">
        <v>94499</v>
      </c>
      <c r="D406" s="616" t="s">
        <v>1476</v>
      </c>
      <c r="E406" s="68" t="s">
        <v>220</v>
      </c>
      <c r="F406" s="1105">
        <f>'INC. 14'!C110</f>
        <v>2</v>
      </c>
      <c r="G406" s="162">
        <v>294.45</v>
      </c>
      <c r="H406" s="313">
        <f t="shared" si="87"/>
        <v>379.31</v>
      </c>
      <c r="I406" s="313">
        <f t="shared" si="88"/>
        <v>758.62</v>
      </c>
      <c r="J406" s="109"/>
      <c r="K406" s="751">
        <f t="shared" si="92"/>
        <v>2.0343317442124442E-4</v>
      </c>
    </row>
    <row r="407" spans="1:11" ht="12.75" customHeight="1" x14ac:dyDescent="0.2">
      <c r="A407" s="1817" t="s">
        <v>1157</v>
      </c>
      <c r="B407" s="1818"/>
      <c r="C407" s="1818"/>
      <c r="D407" s="1818"/>
      <c r="E407" s="1818"/>
      <c r="F407" s="1818"/>
      <c r="G407" s="1818"/>
      <c r="H407" s="1819"/>
      <c r="I407" s="139">
        <f>SUM(I383:I406)</f>
        <v>39882.090000000004</v>
      </c>
      <c r="J407" s="109"/>
      <c r="K407" s="751"/>
    </row>
    <row r="408" spans="1:11" ht="13.5" thickBot="1" x14ac:dyDescent="0.25">
      <c r="A408" s="5"/>
      <c r="B408" s="5"/>
      <c r="C408" s="5"/>
      <c r="D408" s="1"/>
      <c r="E408" s="1"/>
      <c r="F408" s="8"/>
      <c r="G408" s="5"/>
      <c r="H408" s="5"/>
      <c r="I408" s="9"/>
      <c r="K408" s="751"/>
    </row>
    <row r="409" spans="1:11" s="109" customFormat="1" ht="13.5" thickBot="1" x14ac:dyDescent="0.25">
      <c r="A409" s="90">
        <v>16</v>
      </c>
      <c r="B409" s="90"/>
      <c r="C409" s="90"/>
      <c r="D409" s="1827" t="s">
        <v>244</v>
      </c>
      <c r="E409" s="1828"/>
      <c r="F409" s="1828"/>
      <c r="G409" s="1828"/>
      <c r="H409" s="1828"/>
      <c r="I409" s="1829"/>
      <c r="J409" s="94">
        <f>I436/$I$488</f>
        <v>2.6280459744815229E-2</v>
      </c>
      <c r="K409" s="751"/>
    </row>
    <row r="410" spans="1:11" s="166" customFormat="1" ht="25.5" outlineLevel="1" x14ac:dyDescent="0.2">
      <c r="A410" s="108" t="s">
        <v>30</v>
      </c>
      <c r="B410" s="1359" t="s">
        <v>282</v>
      </c>
      <c r="C410" s="108">
        <v>95469</v>
      </c>
      <c r="D410" s="1348" t="s">
        <v>443</v>
      </c>
      <c r="E410" s="112" t="s">
        <v>96</v>
      </c>
      <c r="F410" s="322">
        <f>'LOUÇ. ACESS. E META. 16'!C26</f>
        <v>12</v>
      </c>
      <c r="G410" s="162">
        <v>253.51</v>
      </c>
      <c r="H410" s="313">
        <f t="shared" ref="H410:H435" si="93">ROUND((G410*$K$11),2)</f>
        <v>326.57</v>
      </c>
      <c r="I410" s="313">
        <f t="shared" ref="I410:I435" si="94">ROUND(((F410*H410)),2)</f>
        <v>3918.84</v>
      </c>
      <c r="K410" s="986">
        <f>I410/[1]ORÇ!$I$540</f>
        <v>6.6814782281084735E-4</v>
      </c>
    </row>
    <row r="411" spans="1:11" s="166" customFormat="1" ht="38.25" outlineLevel="1" x14ac:dyDescent="0.2">
      <c r="A411" s="108" t="s">
        <v>385</v>
      </c>
      <c r="B411" s="1359" t="s">
        <v>282</v>
      </c>
      <c r="C411" s="108">
        <v>95471</v>
      </c>
      <c r="D411" s="1348" t="s">
        <v>391</v>
      </c>
      <c r="E411" s="112" t="s">
        <v>96</v>
      </c>
      <c r="F411" s="322">
        <f>'LOUÇ. ACESS. E META. 16'!C37</f>
        <v>4</v>
      </c>
      <c r="G411" s="162">
        <v>635.45000000000005</v>
      </c>
      <c r="H411" s="313">
        <f t="shared" si="93"/>
        <v>818.59</v>
      </c>
      <c r="I411" s="313">
        <f t="shared" si="94"/>
        <v>3274.36</v>
      </c>
      <c r="K411" s="986">
        <f>I411/[1]ORÇ!$I$540</f>
        <v>5.5826635052692278E-4</v>
      </c>
    </row>
    <row r="412" spans="1:11" s="166" customFormat="1" ht="25.5" outlineLevel="1" x14ac:dyDescent="0.2">
      <c r="A412" s="108" t="s">
        <v>386</v>
      </c>
      <c r="B412" s="1359" t="s">
        <v>282</v>
      </c>
      <c r="C412" s="108">
        <v>100849</v>
      </c>
      <c r="D412" s="1348" t="s">
        <v>392</v>
      </c>
      <c r="E412" s="112" t="s">
        <v>96</v>
      </c>
      <c r="F412" s="322">
        <f>'LOUÇ. ACESS. E META. 16'!C42</f>
        <v>16</v>
      </c>
      <c r="G412" s="162">
        <v>36.49</v>
      </c>
      <c r="H412" s="313">
        <f t="shared" si="93"/>
        <v>47.01</v>
      </c>
      <c r="I412" s="313">
        <f t="shared" si="94"/>
        <v>752.16</v>
      </c>
      <c r="K412" s="986">
        <f>I412/[1]ORÇ!$I$540</f>
        <v>1.282405166848881E-4</v>
      </c>
    </row>
    <row r="413" spans="1:11" s="166" customFormat="1" outlineLevel="1" x14ac:dyDescent="0.2">
      <c r="A413" s="108" t="s">
        <v>387</v>
      </c>
      <c r="B413" s="1359" t="s">
        <v>621</v>
      </c>
      <c r="C413" s="108">
        <v>190401</v>
      </c>
      <c r="D413" s="1348" t="s">
        <v>966</v>
      </c>
      <c r="E413" s="112" t="s">
        <v>96</v>
      </c>
      <c r="F413" s="322">
        <f>'LOUÇ. ACESS. E META. 16'!C46</f>
        <v>2</v>
      </c>
      <c r="G413" s="162">
        <v>641.73</v>
      </c>
      <c r="H413" s="313">
        <f t="shared" si="93"/>
        <v>826.68</v>
      </c>
      <c r="I413" s="313">
        <f t="shared" si="94"/>
        <v>1653.36</v>
      </c>
      <c r="K413" s="986"/>
    </row>
    <row r="414" spans="1:11" s="166" customFormat="1" outlineLevel="1" x14ac:dyDescent="0.2">
      <c r="A414" s="108" t="s">
        <v>388</v>
      </c>
      <c r="B414" s="1359" t="s">
        <v>621</v>
      </c>
      <c r="C414" s="108">
        <v>190691</v>
      </c>
      <c r="D414" s="1348" t="s">
        <v>672</v>
      </c>
      <c r="E414" s="112" t="s">
        <v>96</v>
      </c>
      <c r="F414" s="322">
        <f>'LOUÇ. ACESS. E META. 16'!C57</f>
        <v>4</v>
      </c>
      <c r="G414" s="162">
        <v>150.18</v>
      </c>
      <c r="H414" s="313">
        <f t="shared" si="93"/>
        <v>193.46</v>
      </c>
      <c r="I414" s="313">
        <f t="shared" si="94"/>
        <v>773.84</v>
      </c>
      <c r="K414" s="986"/>
    </row>
    <row r="415" spans="1:11" s="166" customFormat="1" ht="25.5" outlineLevel="1" x14ac:dyDescent="0.2">
      <c r="A415" s="108" t="s">
        <v>389</v>
      </c>
      <c r="B415" s="1359" t="s">
        <v>282</v>
      </c>
      <c r="C415" s="108">
        <v>100860</v>
      </c>
      <c r="D415" s="948" t="s">
        <v>393</v>
      </c>
      <c r="E415" s="112" t="s">
        <v>96</v>
      </c>
      <c r="F415" s="322">
        <f>'LOUÇ. ACESS. E META. 16'!C68</f>
        <v>4</v>
      </c>
      <c r="G415" s="162">
        <v>86.83</v>
      </c>
      <c r="H415" s="313">
        <f t="shared" si="93"/>
        <v>111.85</v>
      </c>
      <c r="I415" s="313">
        <f t="shared" si="94"/>
        <v>447.4</v>
      </c>
      <c r="K415" s="986">
        <f>I415/[1]ORÇ!$I$540</f>
        <v>7.6280056324211525E-5</v>
      </c>
    </row>
    <row r="416" spans="1:11" s="166" customFormat="1" ht="63.75" outlineLevel="1" x14ac:dyDescent="0.2">
      <c r="A416" s="108" t="s">
        <v>934</v>
      </c>
      <c r="B416" s="1516" t="s">
        <v>282</v>
      </c>
      <c r="C416" s="108">
        <v>86942</v>
      </c>
      <c r="D416" s="1500" t="s">
        <v>242</v>
      </c>
      <c r="E416" s="112" t="s">
        <v>96</v>
      </c>
      <c r="F416" s="322">
        <f>'LOUÇ. ACESS. E META. 16'!C80</f>
        <v>8</v>
      </c>
      <c r="G416" s="162">
        <v>231</v>
      </c>
      <c r="H416" s="313">
        <f t="shared" si="93"/>
        <v>297.57</v>
      </c>
      <c r="I416" s="313">
        <f t="shared" si="94"/>
        <v>2380.56</v>
      </c>
      <c r="K416" s="986">
        <f>I416/[1]ORÇ!$I$540</f>
        <v>4.0587673420466023E-4</v>
      </c>
    </row>
    <row r="417" spans="1:11" s="166" customFormat="1" ht="51" outlineLevel="1" x14ac:dyDescent="0.2">
      <c r="A417" s="108" t="s">
        <v>1428</v>
      </c>
      <c r="B417" s="1820" t="str">
        <f>COMPOSIÇÕES!A431</f>
        <v>COMPOSIÇÃO 44</v>
      </c>
      <c r="C417" s="1821"/>
      <c r="D417" s="1500" t="str">
        <f>COMPOSIÇÕES!C430</f>
        <v xml:space="preserve">BANCADA GRANITO CINZA POLIDO, 400X60CM PADRÃO POPULAR, COM 4 CUBAS DE EMBUTIR OVAL EM LOUÇA BRANCA, INCLUINDO VÁLVULA E SIFÃO TIPO GARRAFA EM METAL CROMADO - FORNECIMENTO E INSTALAÇÃO. </v>
      </c>
      <c r="E417" s="112" t="s">
        <v>96</v>
      </c>
      <c r="F417" s="322">
        <f>'LOUÇ. ACESS. E META. 16'!C89</f>
        <v>2</v>
      </c>
      <c r="G417" s="162">
        <f>COMPOSIÇÕES!M443</f>
        <v>2858.49</v>
      </c>
      <c r="H417" s="313">
        <f t="shared" si="93"/>
        <v>3682.31</v>
      </c>
      <c r="I417" s="313">
        <f t="shared" si="94"/>
        <v>7364.62</v>
      </c>
      <c r="K417" s="986">
        <f>I417/[1]ORÇ!$I$540</f>
        <v>1.2556406535682045E-3</v>
      </c>
    </row>
    <row r="418" spans="1:11" s="166" customFormat="1" ht="38.25" outlineLevel="1" x14ac:dyDescent="0.2">
      <c r="A418" s="108" t="s">
        <v>935</v>
      </c>
      <c r="B418" s="1820" t="str">
        <f>COMPOSIÇÕES!A447</f>
        <v>COMPOSIÇÃO 45</v>
      </c>
      <c r="C418" s="1821"/>
      <c r="D418" s="1407" t="str">
        <f>COMPOSIÇÕES!C446</f>
        <v>BANCADA EM GRANITO PARA COPA DE  620 X 60 CM, COM CUBA DE EMBUTIR DE AÇO, VÁLVULA E SIFÃO, ENGATE FLEXÍVEL 30 CM, TORNEIRA CROMADA, DE MESA, 1/2 OU 3/4. FORNEC. E INSTALAÇÃO.</v>
      </c>
      <c r="E418" s="112" t="s">
        <v>96</v>
      </c>
      <c r="F418" s="322">
        <f>'LOUÇ. ACESS. E META. 16'!C96</f>
        <v>1</v>
      </c>
      <c r="G418" s="162">
        <f>COMPOSIÇÕES!M462</f>
        <v>3138.04</v>
      </c>
      <c r="H418" s="313">
        <f t="shared" si="93"/>
        <v>4042.42</v>
      </c>
      <c r="I418" s="313">
        <f t="shared" si="94"/>
        <v>4042.42</v>
      </c>
      <c r="K418" s="986">
        <f>I418/[1]ORÇ!$I$540</f>
        <v>6.8921775879776301E-4</v>
      </c>
    </row>
    <row r="419" spans="1:11" s="166" customFormat="1" ht="25.5" outlineLevel="1" x14ac:dyDescent="0.2">
      <c r="A419" s="108" t="s">
        <v>936</v>
      </c>
      <c r="B419" s="1820" t="str">
        <f>COMPOSIÇÕES!A466</f>
        <v>COMPOSIÇÃO 46</v>
      </c>
      <c r="C419" s="1821"/>
      <c r="D419" s="1407" t="str">
        <f>COMPOSIÇÕES!C465</f>
        <v xml:space="preserve">BANCADA GRANITO CINZA POLIDO, PADRÃO POPULAR, COM RODABANCA E MÃO FRANCESA - FORNECIMENTO E INSTALAÇÃO. </v>
      </c>
      <c r="E419" s="112" t="s">
        <v>252</v>
      </c>
      <c r="F419" s="322">
        <f>'LOUÇ. ACESS. E META. 16'!C106</f>
        <v>4.7</v>
      </c>
      <c r="G419" s="162">
        <f>COMPOSIÇÕES!M474</f>
        <v>650.05999999999995</v>
      </c>
      <c r="H419" s="313">
        <f t="shared" si="93"/>
        <v>837.41</v>
      </c>
      <c r="I419" s="313">
        <f t="shared" si="94"/>
        <v>3935.83</v>
      </c>
      <c r="K419" s="986">
        <f>I419/[1]ORÇ!$I$540</f>
        <v>6.7104455539231437E-4</v>
      </c>
    </row>
    <row r="420" spans="1:11" s="166" customFormat="1" ht="51" outlineLevel="1" x14ac:dyDescent="0.2">
      <c r="A420" s="108" t="s">
        <v>1427</v>
      </c>
      <c r="B420" s="1820" t="str">
        <f>COMPOSIÇÕES!A478</f>
        <v>COMPOSIÇÃO 47</v>
      </c>
      <c r="C420" s="1821"/>
      <c r="D420" s="1407" t="str">
        <f>COMPOSIÇÕES!C477</f>
        <v xml:space="preserve">BANCADA GRANITO CINZA POLIDO, 160X60CM PADRÃO POPULAR, COM UMA CUBAS DE EMBUTIR EM AÇO INOXIDAVEL, INCLUINDO VÁLVULA E SIFÃO TIPO GARRAFA EM METAL CROMADO - FORNECIMENTO E INSTALAÇÃO. </v>
      </c>
      <c r="E420" s="112" t="s">
        <v>96</v>
      </c>
      <c r="F420" s="322">
        <f>'LOUÇ. ACESS. E META. 16'!C114</f>
        <v>2</v>
      </c>
      <c r="G420" s="162">
        <f>COMPOSIÇÕES!M491</f>
        <v>1326.29</v>
      </c>
      <c r="H420" s="313">
        <f t="shared" si="93"/>
        <v>1708.53</v>
      </c>
      <c r="I420" s="313">
        <f t="shared" si="94"/>
        <v>3417.06</v>
      </c>
      <c r="K420" s="986">
        <f>I420/[1]ORÇ!$I$540</f>
        <v>5.8259617627002733E-4</v>
      </c>
    </row>
    <row r="421" spans="1:11" s="166" customFormat="1" ht="38.25" outlineLevel="1" x14ac:dyDescent="0.2">
      <c r="A421" s="108" t="s">
        <v>937</v>
      </c>
      <c r="B421" s="1820" t="str">
        <f>COMPOSIÇÕES!A495</f>
        <v>COMPOSIÇÃO 48</v>
      </c>
      <c r="C421" s="1821"/>
      <c r="D421" s="1407" t="str">
        <f>COMPOSIÇÕES!C494</f>
        <v>BANCADA EM AÇO INOX PARA COPA DE  235 X 60 CM, COM CUBA DE EMBUTIR DE AÇO, VÁLVULA E SIFÃO, ENGATE FLEXÍVEL 30 CM, TORNEIRA CROMADA, DE MESA, 1/2 OU 3/4. FORNEC. E INSTALAÇÃO.</v>
      </c>
      <c r="E421" s="112" t="s">
        <v>96</v>
      </c>
      <c r="F421" s="322">
        <f>'LOUÇ. ACESS. E META. 16'!C121</f>
        <v>1</v>
      </c>
      <c r="G421" s="162">
        <f>COMPOSIÇÕES!M510</f>
        <v>808.55</v>
      </c>
      <c r="H421" s="313">
        <f t="shared" si="93"/>
        <v>1041.57</v>
      </c>
      <c r="I421" s="313">
        <f t="shared" si="94"/>
        <v>1041.57</v>
      </c>
      <c r="K421" s="986">
        <f>I421/[1]ORÇ!$I$540</f>
        <v>1.7758385843900088E-4</v>
      </c>
    </row>
    <row r="422" spans="1:11" s="166" customFormat="1" outlineLevel="1" x14ac:dyDescent="0.2">
      <c r="A422" s="108" t="s">
        <v>1426</v>
      </c>
      <c r="B422" s="1516" t="s">
        <v>621</v>
      </c>
      <c r="C422" s="108">
        <v>190529</v>
      </c>
      <c r="D422" s="948" t="s">
        <v>1425</v>
      </c>
      <c r="E422" s="112" t="s">
        <v>96</v>
      </c>
      <c r="F422" s="322">
        <f>'LOUÇ. ACESS. E META. 16'!C126</f>
        <v>1</v>
      </c>
      <c r="G422" s="162">
        <v>3782.68</v>
      </c>
      <c r="H422" s="313">
        <f t="shared" si="93"/>
        <v>4872.8500000000004</v>
      </c>
      <c r="I422" s="313">
        <f t="shared" si="94"/>
        <v>4872.8500000000004</v>
      </c>
      <c r="K422" s="986">
        <f>I422/[1]ORÇ!$I$540</f>
        <v>8.3080302293123414E-4</v>
      </c>
    </row>
    <row r="423" spans="1:11" s="166" customFormat="1" ht="38.25" outlineLevel="1" x14ac:dyDescent="0.2">
      <c r="A423" s="108" t="s">
        <v>1424</v>
      </c>
      <c r="B423" s="1516" t="s">
        <v>282</v>
      </c>
      <c r="C423" s="108">
        <v>86911</v>
      </c>
      <c r="D423" s="948" t="s">
        <v>413</v>
      </c>
      <c r="E423" s="112" t="s">
        <v>96</v>
      </c>
      <c r="F423" s="322">
        <f>'LOUÇ. ACESS. E META. 16'!C135</f>
        <v>8</v>
      </c>
      <c r="G423" s="162">
        <v>78.459999999999994</v>
      </c>
      <c r="H423" s="313">
        <f t="shared" si="93"/>
        <v>101.07</v>
      </c>
      <c r="I423" s="313">
        <f t="shared" si="94"/>
        <v>808.56</v>
      </c>
      <c r="K423" s="986">
        <f>I423/[1]ORÇ!$I$540</f>
        <v>1.3785650948034079E-4</v>
      </c>
    </row>
    <row r="424" spans="1:11" s="166" customFormat="1" ht="63.75" outlineLevel="1" x14ac:dyDescent="0.2">
      <c r="A424" s="108" t="s">
        <v>938</v>
      </c>
      <c r="B424" s="1516" t="s">
        <v>282</v>
      </c>
      <c r="C424" s="108">
        <v>93441</v>
      </c>
      <c r="D424" s="948" t="s">
        <v>411</v>
      </c>
      <c r="E424" s="112" t="s">
        <v>96</v>
      </c>
      <c r="F424" s="322">
        <f>'LOUÇ. ACESS. E META. 16'!C143</f>
        <v>4</v>
      </c>
      <c r="G424" s="162">
        <v>966.53</v>
      </c>
      <c r="H424" s="313">
        <f t="shared" si="93"/>
        <v>1245.08</v>
      </c>
      <c r="I424" s="313">
        <f t="shared" si="94"/>
        <v>4980.32</v>
      </c>
      <c r="K424" s="986">
        <f>I424/[1]ORÇ!$I$540</f>
        <v>8.4912626310370393E-4</v>
      </c>
    </row>
    <row r="425" spans="1:11" s="166" customFormat="1" ht="25.5" outlineLevel="1" x14ac:dyDescent="0.2">
      <c r="A425" s="108" t="s">
        <v>939</v>
      </c>
      <c r="B425" s="1516" t="s">
        <v>282</v>
      </c>
      <c r="C425" s="108">
        <v>95544</v>
      </c>
      <c r="D425" s="948" t="s">
        <v>231</v>
      </c>
      <c r="E425" s="112" t="s">
        <v>96</v>
      </c>
      <c r="F425" s="322">
        <f>'LOUÇ. ACESS. E META. 16'!C148</f>
        <v>16</v>
      </c>
      <c r="G425" s="162">
        <v>44.09</v>
      </c>
      <c r="H425" s="313">
        <f t="shared" si="93"/>
        <v>56.8</v>
      </c>
      <c r="I425" s="313">
        <f t="shared" si="94"/>
        <v>908.8</v>
      </c>
      <c r="K425" s="986">
        <f>I425/[1]ORÇ!$I$540</f>
        <v>1.5494706121467017E-4</v>
      </c>
    </row>
    <row r="426" spans="1:11" s="166" customFormat="1" ht="25.5" outlineLevel="1" x14ac:dyDescent="0.2">
      <c r="A426" s="108" t="s">
        <v>940</v>
      </c>
      <c r="B426" s="1516" t="s">
        <v>282</v>
      </c>
      <c r="C426" s="108">
        <v>95547</v>
      </c>
      <c r="D426" s="1500" t="s">
        <v>230</v>
      </c>
      <c r="E426" s="112" t="s">
        <v>96</v>
      </c>
      <c r="F426" s="322">
        <f>'LOUÇ. ACESS. E META. 16'!C163</f>
        <v>12</v>
      </c>
      <c r="G426" s="162">
        <v>88.49</v>
      </c>
      <c r="H426" s="313">
        <f t="shared" si="93"/>
        <v>113.99</v>
      </c>
      <c r="I426" s="313">
        <f t="shared" si="94"/>
        <v>1367.88</v>
      </c>
      <c r="K426" s="986">
        <f>I426/[1]ORÇ!$I$540</f>
        <v>2.3321851462843645E-4</v>
      </c>
    </row>
    <row r="427" spans="1:11" s="166" customFormat="1" ht="25.5" outlineLevel="1" x14ac:dyDescent="0.2">
      <c r="A427" s="108" t="s">
        <v>941</v>
      </c>
      <c r="B427" s="1820" t="str">
        <f>COMPOSIÇÕES!A514</f>
        <v>COMPOSIÇÃO 49</v>
      </c>
      <c r="C427" s="1821"/>
      <c r="D427" s="728" t="str">
        <f>COMPOSIÇÕES!C513</f>
        <v>TOALHEIRO PLASTICO TIPO DISPENSER PARA PAPEL TOALHA INTERFOLHADO. FORNECIMENTO E INSTALAÇÃO</v>
      </c>
      <c r="E427" s="112" t="s">
        <v>96</v>
      </c>
      <c r="F427" s="322">
        <f>'LOUÇ. ACESS. E META. 16'!C168</f>
        <v>29</v>
      </c>
      <c r="G427" s="162">
        <f>COMPOSIÇÕES!M519</f>
        <v>91.88</v>
      </c>
      <c r="H427" s="313">
        <f t="shared" si="93"/>
        <v>118.36</v>
      </c>
      <c r="I427" s="313">
        <f t="shared" si="94"/>
        <v>3432.44</v>
      </c>
      <c r="K427" s="986">
        <f>I427/[1]ORÇ!$I$540</f>
        <v>5.8521840976637598E-4</v>
      </c>
    </row>
    <row r="428" spans="1:11" s="166" customFormat="1" ht="25.5" outlineLevel="1" x14ac:dyDescent="0.2">
      <c r="A428" s="108" t="s">
        <v>942</v>
      </c>
      <c r="B428" s="1516" t="s">
        <v>282</v>
      </c>
      <c r="C428" s="108">
        <v>100868</v>
      </c>
      <c r="D428" s="66" t="s">
        <v>229</v>
      </c>
      <c r="E428" s="112" t="s">
        <v>96</v>
      </c>
      <c r="F428" s="322">
        <f>'LOUÇ. ACESS. E META. 16'!C178</f>
        <v>8</v>
      </c>
      <c r="G428" s="162">
        <v>319.74</v>
      </c>
      <c r="H428" s="313">
        <f t="shared" si="93"/>
        <v>411.89</v>
      </c>
      <c r="I428" s="313">
        <f t="shared" si="94"/>
        <v>3295.12</v>
      </c>
      <c r="K428" s="986">
        <f>I428/[1]ORÇ!$I$540</f>
        <v>5.6180585425801488E-4</v>
      </c>
    </row>
    <row r="429" spans="1:11" s="166" customFormat="1" ht="25.5" outlineLevel="1" x14ac:dyDescent="0.2">
      <c r="A429" s="108" t="s">
        <v>943</v>
      </c>
      <c r="B429" s="1516" t="s">
        <v>282</v>
      </c>
      <c r="C429" s="108">
        <v>100866</v>
      </c>
      <c r="D429" s="948" t="s">
        <v>264</v>
      </c>
      <c r="E429" s="112" t="s">
        <v>96</v>
      </c>
      <c r="F429" s="322">
        <f>'LOUÇ. ACESS. E META. 16'!C186</f>
        <v>2</v>
      </c>
      <c r="G429" s="162">
        <v>290.67</v>
      </c>
      <c r="H429" s="313">
        <f t="shared" si="93"/>
        <v>374.44</v>
      </c>
      <c r="I429" s="313">
        <f t="shared" si="94"/>
        <v>748.88</v>
      </c>
      <c r="K429" s="986">
        <f>I429/[1]ORÇ!$I$540</f>
        <v>1.2768128873508165E-4</v>
      </c>
    </row>
    <row r="430" spans="1:11" s="166" customFormat="1" ht="38.25" outlineLevel="1" x14ac:dyDescent="0.2">
      <c r="A430" s="108" t="s">
        <v>944</v>
      </c>
      <c r="B430" s="1516" t="s">
        <v>282</v>
      </c>
      <c r="C430" s="108">
        <v>100865</v>
      </c>
      <c r="D430" s="948" t="s">
        <v>1423</v>
      </c>
      <c r="E430" s="112" t="s">
        <v>96</v>
      </c>
      <c r="F430" s="322">
        <f>'LOUÇ. ACESS. E META. 16'!C191</f>
        <v>4</v>
      </c>
      <c r="G430" s="162">
        <v>533.67999999999995</v>
      </c>
      <c r="H430" s="313">
        <f t="shared" si="93"/>
        <v>687.49</v>
      </c>
      <c r="I430" s="313">
        <f t="shared" si="94"/>
        <v>2749.96</v>
      </c>
      <c r="K430" s="986">
        <f>I430/[1]ORÇ!$I$540</f>
        <v>4.6885807708835209E-4</v>
      </c>
    </row>
    <row r="431" spans="1:11" s="166" customFormat="1" ht="38.25" outlineLevel="1" x14ac:dyDescent="0.2">
      <c r="A431" s="108" t="s">
        <v>945</v>
      </c>
      <c r="B431" s="1359" t="s">
        <v>282</v>
      </c>
      <c r="C431" s="108">
        <v>86935</v>
      </c>
      <c r="D431" s="948" t="s">
        <v>395</v>
      </c>
      <c r="E431" s="112" t="s">
        <v>96</v>
      </c>
      <c r="F431" s="322">
        <f>'LOUÇ. ACESS. E META. 16'!C199</f>
        <v>4</v>
      </c>
      <c r="G431" s="162">
        <v>264.12</v>
      </c>
      <c r="H431" s="313">
        <f t="shared" si="93"/>
        <v>340.24</v>
      </c>
      <c r="I431" s="313">
        <f t="shared" si="94"/>
        <v>1360.96</v>
      </c>
      <c r="K431" s="986">
        <f>I431/[1]ORÇ!$I$540</f>
        <v>2.3203868005140571E-4</v>
      </c>
    </row>
    <row r="432" spans="1:11" s="166" customFormat="1" ht="25.5" outlineLevel="1" x14ac:dyDescent="0.2">
      <c r="A432" s="108" t="s">
        <v>946</v>
      </c>
      <c r="B432" s="1359" t="s">
        <v>282</v>
      </c>
      <c r="C432" s="108">
        <v>86913</v>
      </c>
      <c r="D432" s="948" t="s">
        <v>396</v>
      </c>
      <c r="E432" s="112" t="s">
        <v>96</v>
      </c>
      <c r="F432" s="322">
        <f>'LOUÇ. ACESS. E META. 16'!C204</f>
        <v>4</v>
      </c>
      <c r="G432" s="162">
        <v>48.9</v>
      </c>
      <c r="H432" s="313">
        <f t="shared" si="93"/>
        <v>62.99</v>
      </c>
      <c r="I432" s="313">
        <f t="shared" si="94"/>
        <v>251.96</v>
      </c>
      <c r="K432" s="986">
        <f>I432/[1]ORÇ!$I$540</f>
        <v>4.2958254339401737E-5</v>
      </c>
    </row>
    <row r="433" spans="1:11" s="166" customFormat="1" outlineLevel="1" x14ac:dyDescent="0.2">
      <c r="A433" s="108" t="s">
        <v>947</v>
      </c>
      <c r="B433" s="1820" t="str">
        <f>COMPOSIÇÕES!A523</f>
        <v>COMPOSIÇÃO 50</v>
      </c>
      <c r="C433" s="1821"/>
      <c r="D433" s="1406" t="str">
        <f>COMPOSIÇÕES!C522</f>
        <v>FORNECIMENTO DE ESPELHO DE 80 X 50 CM PARA BANHEIRO</v>
      </c>
      <c r="E433" s="112" t="s">
        <v>96</v>
      </c>
      <c r="F433" s="322">
        <f>'LOUÇ. ACESS. E META. 16'!C217</f>
        <v>16</v>
      </c>
      <c r="G433" s="162">
        <f>COMPOSIÇÕES!M528</f>
        <v>222.57999999999998</v>
      </c>
      <c r="H433" s="313">
        <f t="shared" si="93"/>
        <v>286.73</v>
      </c>
      <c r="I433" s="313">
        <f t="shared" si="94"/>
        <v>4587.68</v>
      </c>
      <c r="K433" s="986">
        <f>I433/[1]ORÇ!$I$540</f>
        <v>7.8218258560004196E-4</v>
      </c>
    </row>
    <row r="434" spans="1:11" s="166" customFormat="1" ht="25.5" outlineLevel="1" x14ac:dyDescent="0.2">
      <c r="A434" s="108" t="s">
        <v>948</v>
      </c>
      <c r="B434" s="1820" t="str">
        <f>COMPOSIÇÕES!A532</f>
        <v>COMPOSIÇÃO 51</v>
      </c>
      <c r="C434" s="1821"/>
      <c r="D434" s="1406" t="str">
        <f>COMPOSIÇÕES!C531</f>
        <v>COIFA ACOPLADA AO TETO, 120 X 60 CM, OU EQUIVALENTE. FORNCECIMENTO E INSTALAÇÃO</v>
      </c>
      <c r="E434" s="112" t="s">
        <v>96</v>
      </c>
      <c r="F434" s="322">
        <f>'LOUÇ. ACESS. E META. 16'!C222</f>
        <v>1</v>
      </c>
      <c r="G434" s="162">
        <f>COMPOSIÇÕES!M537</f>
        <v>3616.81</v>
      </c>
      <c r="H434" s="313">
        <f t="shared" si="93"/>
        <v>4659.17</v>
      </c>
      <c r="I434" s="313">
        <f t="shared" si="94"/>
        <v>4659.17</v>
      </c>
      <c r="K434" s="986">
        <f>I434/[1]ORÇ!$I$540</f>
        <v>7.9437136795725667E-4</v>
      </c>
    </row>
    <row r="435" spans="1:11" s="166" customFormat="1" ht="38.25" outlineLevel="1" x14ac:dyDescent="0.2">
      <c r="A435" s="108" t="s">
        <v>949</v>
      </c>
      <c r="B435" s="108" t="s">
        <v>282</v>
      </c>
      <c r="C435" s="108">
        <v>102253</v>
      </c>
      <c r="D435" s="1343" t="s">
        <v>816</v>
      </c>
      <c r="E435" s="112" t="s">
        <v>6</v>
      </c>
      <c r="F435" s="322">
        <f>'LOUÇ. ACESS. E META. 16'!C232</f>
        <v>36.67</v>
      </c>
      <c r="G435" s="162">
        <v>655.73</v>
      </c>
      <c r="H435" s="313">
        <f t="shared" si="93"/>
        <v>844.71</v>
      </c>
      <c r="I435" s="313">
        <f t="shared" si="94"/>
        <v>30975.52</v>
      </c>
      <c r="K435" s="986"/>
    </row>
    <row r="436" spans="1:11" x14ac:dyDescent="0.2">
      <c r="A436" s="1817" t="s">
        <v>1158</v>
      </c>
      <c r="B436" s="1818"/>
      <c r="C436" s="1818"/>
      <c r="D436" s="1818"/>
      <c r="E436" s="1818"/>
      <c r="F436" s="1818"/>
      <c r="G436" s="1818"/>
      <c r="H436" s="1819"/>
      <c r="I436" s="141">
        <f>SUM(I410:I435)</f>
        <v>98002.12000000001</v>
      </c>
      <c r="K436" s="751"/>
    </row>
    <row r="437" spans="1:11" ht="13.5" thickBot="1" x14ac:dyDescent="0.25">
      <c r="A437" s="1"/>
      <c r="B437" s="1"/>
      <c r="C437" s="1"/>
      <c r="D437" s="1"/>
      <c r="E437" s="1"/>
      <c r="F437" s="1"/>
      <c r="G437" s="1"/>
      <c r="H437" s="1"/>
      <c r="I437" s="1126"/>
      <c r="K437" s="751"/>
    </row>
    <row r="438" spans="1:11" s="109" customFormat="1" ht="13.5" thickBot="1" x14ac:dyDescent="0.25">
      <c r="A438" s="90">
        <v>17</v>
      </c>
      <c r="B438" s="90"/>
      <c r="C438" s="90"/>
      <c r="D438" s="916" t="s">
        <v>1129</v>
      </c>
      <c r="E438" s="917"/>
      <c r="F438" s="917"/>
      <c r="G438" s="917"/>
      <c r="H438" s="917"/>
      <c r="I438" s="918"/>
      <c r="J438" s="94">
        <f>I442/$I$488</f>
        <v>1.6077565495877934E-2</v>
      </c>
      <c r="K438" s="751"/>
    </row>
    <row r="439" spans="1:11" s="109" customFormat="1" x14ac:dyDescent="0.2">
      <c r="A439" s="1111" t="s">
        <v>330</v>
      </c>
      <c r="B439" s="958" t="s">
        <v>621</v>
      </c>
      <c r="C439" s="68">
        <v>260213</v>
      </c>
      <c r="D439" s="1109" t="s">
        <v>1130</v>
      </c>
      <c r="E439" s="68" t="s">
        <v>17</v>
      </c>
      <c r="F439" s="10">
        <f>'MURO 17'!D17</f>
        <v>18</v>
      </c>
      <c r="G439" s="320">
        <v>592.34</v>
      </c>
      <c r="H439" s="138">
        <f t="shared" ref="H439" si="95">ROUND((G439*$K$11),2)</f>
        <v>763.05</v>
      </c>
      <c r="I439" s="138">
        <f t="shared" ref="I439" si="96">ROUND(((F439*H439)),2)</f>
        <v>13734.9</v>
      </c>
      <c r="J439" s="582"/>
      <c r="K439" s="751"/>
    </row>
    <row r="440" spans="1:11" ht="51" x14ac:dyDescent="0.2">
      <c r="A440" s="1517" t="s">
        <v>569</v>
      </c>
      <c r="B440" s="1824" t="str">
        <f>COMPOSIÇÕES!A578</f>
        <v>COMPOSIÇÃO 55</v>
      </c>
      <c r="C440" s="1825"/>
      <c r="D440" s="1110" t="str">
        <f>COMPOSIÇÕES!C577</f>
        <v>FORNECIMENTO E INSTALAÇÃO DE GRADIL COM MONTANTES EM TUBO DE AÇO GALVANIZADO 3", TELA DE ARAME GALVANIZADO MALHA 5X5CM, H= 2M, INCLUINDO BLOCOS DE FUNDAÇÃO, BALDRAME E PINTURA ANTICORROSIVA APLICADA NA ESTRUTURA METÁLICA.</v>
      </c>
      <c r="E440" s="68" t="s">
        <v>17</v>
      </c>
      <c r="F440" s="10">
        <f>'MURO 17'!C29</f>
        <v>52.25</v>
      </c>
      <c r="G440" s="162">
        <f>COMPOSIÇÕES!M592</f>
        <v>563.45000000000005</v>
      </c>
      <c r="H440" s="137">
        <f t="shared" ref="H440" si="97">ROUND((G440*$K$11),2)</f>
        <v>725.84</v>
      </c>
      <c r="I440" s="138">
        <f t="shared" ref="I440" si="98">ROUND(((F440*H440)),2)</f>
        <v>37925.14</v>
      </c>
      <c r="K440" s="751">
        <f>I440/$I$488</f>
        <v>1.0170087290830869E-2</v>
      </c>
    </row>
    <row r="441" spans="1:11" ht="51" x14ac:dyDescent="0.2">
      <c r="A441" s="1517" t="s">
        <v>576</v>
      </c>
      <c r="B441" s="1824" t="str">
        <f>COMPOSIÇÕES!A794</f>
        <v>COMPOSIÇÃO 75</v>
      </c>
      <c r="C441" s="1825"/>
      <c r="D441" s="1110" t="str">
        <f>COMPOSIÇÕES!C793</f>
        <v>FORNECIMENTO E INSTALAÇÃO DE PORTAO DE ABRIR / GIRO, EM GRADIL DE METALON REDONDO DE 3/4"  VERTICAL, COM REQUADRO, ACABAMENTO NATURAL - COMPLETO, INCLUSO PINTURA ANTICORROSIVA APLICADA NA ESTRUTURA METÁLICA.</v>
      </c>
      <c r="E441" s="1111" t="s">
        <v>17</v>
      </c>
      <c r="F441" s="10">
        <f>'MURO 17'!C37</f>
        <v>10</v>
      </c>
      <c r="G441" s="162">
        <f>COMPOSIÇÕES!M801</f>
        <v>643.88999999999987</v>
      </c>
      <c r="H441" s="137">
        <f t="shared" ref="H441" si="99">ROUND((G441*$K$11),2)</f>
        <v>829.46</v>
      </c>
      <c r="I441" s="138">
        <f t="shared" ref="I441" si="100">ROUND(((F441*H441)),2)</f>
        <v>8294.6</v>
      </c>
      <c r="K441" s="751"/>
    </row>
    <row r="442" spans="1:11" ht="12.75" customHeight="1" x14ac:dyDescent="0.2">
      <c r="A442" s="1817" t="s">
        <v>1159</v>
      </c>
      <c r="B442" s="1818"/>
      <c r="C442" s="1818"/>
      <c r="D442" s="1818"/>
      <c r="E442" s="1818"/>
      <c r="F442" s="1818"/>
      <c r="G442" s="1818"/>
      <c r="H442" s="1819"/>
      <c r="I442" s="141">
        <f>SUM(I439:I441)</f>
        <v>59954.64</v>
      </c>
      <c r="K442" s="751"/>
    </row>
    <row r="443" spans="1:11" ht="12.75" customHeight="1" thickBot="1" x14ac:dyDescent="0.25">
      <c r="A443" s="1"/>
      <c r="B443" s="1"/>
      <c r="C443" s="1"/>
      <c r="D443" s="1"/>
      <c r="E443" s="1"/>
      <c r="F443" s="1"/>
      <c r="G443" s="1"/>
      <c r="H443" s="1"/>
      <c r="I443" s="1126"/>
      <c r="K443" s="751"/>
    </row>
    <row r="444" spans="1:11" s="109" customFormat="1" ht="13.5" thickBot="1" x14ac:dyDescent="0.25">
      <c r="A444" s="90">
        <v>18</v>
      </c>
      <c r="B444" s="90"/>
      <c r="C444" s="90"/>
      <c r="D444" s="1827" t="s">
        <v>47</v>
      </c>
      <c r="E444" s="1828"/>
      <c r="F444" s="1828"/>
      <c r="G444" s="1828"/>
      <c r="H444" s="1828"/>
      <c r="I444" s="1829"/>
      <c r="J444" s="94">
        <f>I451/$I$488</f>
        <v>1.4860031542788069E-2</v>
      </c>
      <c r="K444" s="751"/>
    </row>
    <row r="445" spans="1:11" ht="51" x14ac:dyDescent="0.2">
      <c r="A445" s="68" t="s">
        <v>390</v>
      </c>
      <c r="B445" s="17" t="s">
        <v>282</v>
      </c>
      <c r="C445" s="13">
        <v>99839</v>
      </c>
      <c r="D445" s="858" t="s">
        <v>668</v>
      </c>
      <c r="E445" s="69" t="s">
        <v>17</v>
      </c>
      <c r="F445" s="893">
        <f>'SERV. DIV. 18'!C23</f>
        <v>29.3</v>
      </c>
      <c r="G445" s="313">
        <v>490.09</v>
      </c>
      <c r="H445" s="138">
        <f t="shared" ref="H445:H450" si="101">ROUND((G445*$K$11),2)</f>
        <v>631.33000000000004</v>
      </c>
      <c r="I445" s="138">
        <f t="shared" ref="I445:I450" si="102">ROUND(((F445*H445)),2)</f>
        <v>18497.97</v>
      </c>
      <c r="K445" s="751">
        <f>I445/$I$488</f>
        <v>4.9604555079604375E-3</v>
      </c>
    </row>
    <row r="446" spans="1:11" ht="25.5" x14ac:dyDescent="0.2">
      <c r="A446" s="68" t="s">
        <v>760</v>
      </c>
      <c r="B446" s="1824" t="str">
        <f>COMPOSIÇÕES!A667</f>
        <v>COMPOSIÇÃO 63</v>
      </c>
      <c r="C446" s="1825"/>
      <c r="D446" s="919" t="str">
        <f>COMPOSIÇÕES!C666</f>
        <v>CORRIMÃO SIMPLES, DIÂMETRO EXTERNO = 1 1/2", EM ALUMÍNIO. AF_04/2019_P</v>
      </c>
      <c r="E446" s="914" t="s">
        <v>17</v>
      </c>
      <c r="F446" s="893">
        <f>'SERV. DIV. 18'!C34</f>
        <v>24.45</v>
      </c>
      <c r="G446" s="313">
        <f>COMPOSIÇÕES!M675</f>
        <v>138.54999999999998</v>
      </c>
      <c r="H446" s="138">
        <f t="shared" si="101"/>
        <v>178.48</v>
      </c>
      <c r="I446" s="138">
        <f t="shared" si="102"/>
        <v>4363.84</v>
      </c>
      <c r="K446" s="751">
        <f>I446/$I$488</f>
        <v>1.1702167407482049E-3</v>
      </c>
    </row>
    <row r="447" spans="1:11" ht="43.5" customHeight="1" x14ac:dyDescent="0.2">
      <c r="A447" s="68" t="s">
        <v>761</v>
      </c>
      <c r="B447" s="1824" t="str">
        <f>COMPOSIÇÕES!A553</f>
        <v>COMPOSIÇÃO 53</v>
      </c>
      <c r="C447" s="1825"/>
      <c r="D447" s="67" t="str">
        <f>COMPOSIÇÕES!C552</f>
        <v>FORNECIMENTO E INSTALAÇÃO DE BANCO COM FUNDAÇÃO EM CONCRETO CICLÓPICO E ESTRUTURA EM CONCRETO ARMADO, COM DIMENSÕES DE 2,00X0,50M, INCLUINDO PINTURA ACRILICA.</v>
      </c>
      <c r="E447" s="68" t="s">
        <v>96</v>
      </c>
      <c r="F447" s="10">
        <f>'SERV. DIV. 18'!C42</f>
        <v>6</v>
      </c>
      <c r="G447" s="162">
        <f>COMPOSIÇÕES!M564</f>
        <v>593.73</v>
      </c>
      <c r="H447" s="138">
        <f t="shared" si="101"/>
        <v>764.84</v>
      </c>
      <c r="I447" s="138">
        <f t="shared" si="102"/>
        <v>4589.04</v>
      </c>
      <c r="K447" s="751">
        <f>I447/$I$488</f>
        <v>1.2306068581715054E-3</v>
      </c>
    </row>
    <row r="448" spans="1:11" x14ac:dyDescent="0.2">
      <c r="A448" s="68" t="s">
        <v>762</v>
      </c>
      <c r="B448" s="852" t="s">
        <v>621</v>
      </c>
      <c r="C448" s="851">
        <v>260188</v>
      </c>
      <c r="D448" s="67" t="s">
        <v>967</v>
      </c>
      <c r="E448" s="68" t="s">
        <v>530</v>
      </c>
      <c r="F448" s="10">
        <f>'SERV. DIV. 18'!C46</f>
        <v>2</v>
      </c>
      <c r="G448" s="162">
        <v>2348.06</v>
      </c>
      <c r="H448" s="138">
        <f t="shared" si="101"/>
        <v>3024.77</v>
      </c>
      <c r="I448" s="138">
        <f t="shared" si="102"/>
        <v>6049.54</v>
      </c>
      <c r="K448" s="751">
        <f>I448/$I$488</f>
        <v>1.6222576863097399E-3</v>
      </c>
    </row>
    <row r="449" spans="1:11" x14ac:dyDescent="0.2">
      <c r="A449" s="68" t="s">
        <v>763</v>
      </c>
      <c r="B449" s="851" t="s">
        <v>282</v>
      </c>
      <c r="C449" s="851">
        <v>98509</v>
      </c>
      <c r="D449" s="67" t="s">
        <v>684</v>
      </c>
      <c r="E449" s="68" t="s">
        <v>96</v>
      </c>
      <c r="F449" s="10">
        <f>'SERV. DIV. 18'!C50</f>
        <v>300</v>
      </c>
      <c r="G449" s="162">
        <v>37.799999999999997</v>
      </c>
      <c r="H449" s="137">
        <f t="shared" si="101"/>
        <v>48.69</v>
      </c>
      <c r="I449" s="138">
        <f t="shared" si="102"/>
        <v>14607</v>
      </c>
      <c r="K449" s="751">
        <f>I449/$I$488</f>
        <v>3.9170446056933867E-3</v>
      </c>
    </row>
    <row r="450" spans="1:11" x14ac:dyDescent="0.2">
      <c r="A450" s="68" t="s">
        <v>1186</v>
      </c>
      <c r="B450" s="1179" t="s">
        <v>1175</v>
      </c>
      <c r="C450" s="1179">
        <v>9691</v>
      </c>
      <c r="D450" s="67" t="s">
        <v>1187</v>
      </c>
      <c r="E450" s="68" t="s">
        <v>96</v>
      </c>
      <c r="F450" s="10">
        <f>'SERV. DIV. 18'!C54</f>
        <v>4</v>
      </c>
      <c r="G450" s="162">
        <v>1418.06</v>
      </c>
      <c r="H450" s="137">
        <f t="shared" si="101"/>
        <v>1826.74</v>
      </c>
      <c r="I450" s="138">
        <f t="shared" si="102"/>
        <v>7306.96</v>
      </c>
      <c r="K450" s="751"/>
    </row>
    <row r="451" spans="1:11" ht="12.75" customHeight="1" x14ac:dyDescent="0.2">
      <c r="A451" s="1817" t="s">
        <v>1160</v>
      </c>
      <c r="B451" s="1818"/>
      <c r="C451" s="1818"/>
      <c r="D451" s="1818"/>
      <c r="E451" s="1818"/>
      <c r="F451" s="1818"/>
      <c r="G451" s="1818"/>
      <c r="H451" s="1819"/>
      <c r="I451" s="141">
        <f>SUM(I445:I450)</f>
        <v>55414.35</v>
      </c>
      <c r="K451" s="751"/>
    </row>
    <row r="452" spans="1:11" ht="12.75" customHeight="1" thickBot="1" x14ac:dyDescent="0.25">
      <c r="A452" s="1"/>
      <c r="B452" s="1"/>
      <c r="C452" s="1"/>
      <c r="D452" s="1"/>
      <c r="E452" s="1"/>
      <c r="F452" s="1"/>
      <c r="G452" s="1"/>
      <c r="H452" s="1"/>
      <c r="I452" s="1126"/>
      <c r="K452" s="751"/>
    </row>
    <row r="453" spans="1:11" s="109" customFormat="1" ht="13.5" thickBot="1" x14ac:dyDescent="0.25">
      <c r="A453" s="90">
        <v>19</v>
      </c>
      <c r="B453" s="90"/>
      <c r="C453" s="90"/>
      <c r="D453" s="1827" t="s">
        <v>1026</v>
      </c>
      <c r="E453" s="1828"/>
      <c r="F453" s="1828"/>
      <c r="G453" s="1828"/>
      <c r="H453" s="1828"/>
      <c r="I453" s="1829"/>
      <c r="J453" s="985">
        <f>I474/$I$488</f>
        <v>1.3349712785057409E-2</v>
      </c>
      <c r="K453" s="751"/>
    </row>
    <row r="454" spans="1:11" s="166" customFormat="1" x14ac:dyDescent="0.2">
      <c r="A454" s="70" t="s">
        <v>759</v>
      </c>
      <c r="B454" s="1833"/>
      <c r="C454" s="1834"/>
      <c r="D454" s="976" t="s">
        <v>1027</v>
      </c>
      <c r="E454" s="69"/>
      <c r="F454" s="868"/>
      <c r="G454" s="313"/>
      <c r="H454" s="313"/>
      <c r="I454" s="313"/>
      <c r="K454" s="751"/>
    </row>
    <row r="455" spans="1:11" s="166" customFormat="1" x14ac:dyDescent="0.2">
      <c r="A455" s="68" t="s">
        <v>992</v>
      </c>
      <c r="B455" s="958" t="s">
        <v>282</v>
      </c>
      <c r="C455" s="964">
        <v>30010</v>
      </c>
      <c r="D455" s="858" t="s">
        <v>1743</v>
      </c>
      <c r="E455" s="69" t="s">
        <v>218</v>
      </c>
      <c r="F455" s="868">
        <f>CAS.BOMB.CIST.19!C25</f>
        <v>34.200000000000003</v>
      </c>
      <c r="G455" s="313">
        <v>51.21</v>
      </c>
      <c r="H455" s="313">
        <f>ROUND((G455*$K$11),2)</f>
        <v>65.97</v>
      </c>
      <c r="I455" s="313">
        <f>ROUND(((F455*H455)),2)</f>
        <v>2256.17</v>
      </c>
      <c r="K455" s="751">
        <f t="shared" ref="K455:K473" si="103">I455/$I$488</f>
        <v>6.0501941042152732E-4</v>
      </c>
    </row>
    <row r="456" spans="1:11" s="166" customFormat="1" ht="25.5" x14ac:dyDescent="0.2">
      <c r="A456" s="68" t="s">
        <v>993</v>
      </c>
      <c r="B456" s="958" t="s">
        <v>282</v>
      </c>
      <c r="C456" s="962">
        <v>95240</v>
      </c>
      <c r="D456" s="919" t="s">
        <v>1744</v>
      </c>
      <c r="E456" s="958" t="s">
        <v>6</v>
      </c>
      <c r="F456" s="868">
        <f>CAS.BOMB.CIST.19!C25</f>
        <v>34.200000000000003</v>
      </c>
      <c r="G456" s="313">
        <v>18.059999999999999</v>
      </c>
      <c r="H456" s="313">
        <f>ROUND((G456*$K$11),2)</f>
        <v>23.26</v>
      </c>
      <c r="I456" s="313">
        <f>ROUND(((F456*H456)),2)</f>
        <v>795.49</v>
      </c>
      <c r="K456" s="751">
        <f t="shared" si="103"/>
        <v>2.1332031309529901E-4</v>
      </c>
    </row>
    <row r="457" spans="1:11" s="166" customFormat="1" ht="44.25" customHeight="1" x14ac:dyDescent="0.2">
      <c r="A457" s="68" t="s">
        <v>994</v>
      </c>
      <c r="B457" s="958" t="s">
        <v>282</v>
      </c>
      <c r="C457" s="962">
        <v>92411</v>
      </c>
      <c r="D457" s="67" t="s">
        <v>995</v>
      </c>
      <c r="E457" s="958" t="s">
        <v>6</v>
      </c>
      <c r="F457" s="322">
        <f>CAS.BOMB.CIST.19!C53</f>
        <v>109.67999999999998</v>
      </c>
      <c r="G457" s="162">
        <v>161.69</v>
      </c>
      <c r="H457" s="313">
        <f>ROUND((G457*$K$11),2)</f>
        <v>208.29</v>
      </c>
      <c r="I457" s="313">
        <f>ROUND(((F457*H457)),2)</f>
        <v>22845.25</v>
      </c>
      <c r="K457" s="751">
        <f t="shared" si="103"/>
        <v>6.1262314834132159E-3</v>
      </c>
    </row>
    <row r="458" spans="1:11" s="166" customFormat="1" ht="37.5" customHeight="1" x14ac:dyDescent="0.2">
      <c r="A458" s="68" t="s">
        <v>996</v>
      </c>
      <c r="B458" s="958" t="s">
        <v>282</v>
      </c>
      <c r="C458" s="962">
        <v>94970</v>
      </c>
      <c r="D458" s="67" t="s">
        <v>997</v>
      </c>
      <c r="E458" s="69" t="s">
        <v>2</v>
      </c>
      <c r="F458" s="322">
        <f>CAS.BOMB.CIST.19!C69</f>
        <v>7.18</v>
      </c>
      <c r="G458" s="162">
        <v>510.58</v>
      </c>
      <c r="H458" s="313">
        <f t="shared" ref="H458:H469" si="104">ROUND((G458*$K$11),2)</f>
        <v>657.73</v>
      </c>
      <c r="I458" s="313">
        <f t="shared" ref="I458:I469" si="105">ROUND(((F458*H458)),2)</f>
        <v>4722.5</v>
      </c>
      <c r="K458" s="751">
        <f t="shared" si="103"/>
        <v>1.2663957794473212E-3</v>
      </c>
    </row>
    <row r="459" spans="1:11" s="166" customFormat="1" ht="43.5" customHeight="1" x14ac:dyDescent="0.2">
      <c r="A459" s="68" t="s">
        <v>998</v>
      </c>
      <c r="B459" s="958" t="s">
        <v>282</v>
      </c>
      <c r="C459" s="962">
        <v>92777</v>
      </c>
      <c r="D459" s="67" t="s">
        <v>999</v>
      </c>
      <c r="E459" s="68" t="s">
        <v>73</v>
      </c>
      <c r="F459" s="322">
        <f>CAS.BOMB.CIST.19!C80</f>
        <v>70.42</v>
      </c>
      <c r="G459" s="162">
        <v>14.65</v>
      </c>
      <c r="H459" s="313">
        <f t="shared" si="104"/>
        <v>18.87</v>
      </c>
      <c r="I459" s="313">
        <f t="shared" si="105"/>
        <v>1328.83</v>
      </c>
      <c r="K459" s="751">
        <f t="shared" si="103"/>
        <v>3.5634191712080121E-4</v>
      </c>
    </row>
    <row r="460" spans="1:11" s="166" customFormat="1" ht="40.5" customHeight="1" x14ac:dyDescent="0.2">
      <c r="A460" s="68" t="s">
        <v>1000</v>
      </c>
      <c r="B460" s="958" t="s">
        <v>282</v>
      </c>
      <c r="C460" s="962">
        <v>92776</v>
      </c>
      <c r="D460" s="67" t="s">
        <v>1001</v>
      </c>
      <c r="E460" s="68" t="s">
        <v>73</v>
      </c>
      <c r="F460" s="322">
        <f>CAS.BOMB.CIST.19!C91</f>
        <v>403.05999999999995</v>
      </c>
      <c r="G460" s="162">
        <v>15.77</v>
      </c>
      <c r="H460" s="313">
        <f t="shared" si="104"/>
        <v>20.309999999999999</v>
      </c>
      <c r="I460" s="313">
        <f t="shared" si="105"/>
        <v>8186.15</v>
      </c>
      <c r="K460" s="751">
        <f t="shared" si="103"/>
        <v>2.1952156294171915E-3</v>
      </c>
    </row>
    <row r="461" spans="1:11" s="166" customFormat="1" ht="30.75" customHeight="1" x14ac:dyDescent="0.2">
      <c r="A461" s="68" t="s">
        <v>1002</v>
      </c>
      <c r="B461" s="987" t="s">
        <v>282</v>
      </c>
      <c r="C461" s="963">
        <v>103670</v>
      </c>
      <c r="D461" s="67" t="s">
        <v>1285</v>
      </c>
      <c r="E461" s="69" t="s">
        <v>2</v>
      </c>
      <c r="F461" s="322">
        <f>CAS.BOMB.CIST.19!C97</f>
        <v>7.18</v>
      </c>
      <c r="G461" s="162">
        <v>232.54</v>
      </c>
      <c r="H461" s="313">
        <f t="shared" si="104"/>
        <v>299.56</v>
      </c>
      <c r="I461" s="313">
        <f t="shared" si="105"/>
        <v>2150.84</v>
      </c>
      <c r="K461" s="751">
        <f t="shared" si="103"/>
        <v>5.7677389058051378E-4</v>
      </c>
    </row>
    <row r="462" spans="1:11" s="166" customFormat="1" x14ac:dyDescent="0.2">
      <c r="A462" s="70" t="s">
        <v>767</v>
      </c>
      <c r="B462" s="1835"/>
      <c r="C462" s="1835"/>
      <c r="D462" s="976" t="s">
        <v>1028</v>
      </c>
      <c r="E462" s="68"/>
      <c r="F462" s="322"/>
      <c r="G462" s="162"/>
      <c r="H462" s="313"/>
      <c r="I462" s="313"/>
      <c r="K462" s="751">
        <f t="shared" si="103"/>
        <v>0</v>
      </c>
    </row>
    <row r="463" spans="1:11" s="166" customFormat="1" ht="42.75" customHeight="1" x14ac:dyDescent="0.2">
      <c r="A463" s="68" t="s">
        <v>1003</v>
      </c>
      <c r="B463" s="964" t="s">
        <v>282</v>
      </c>
      <c r="C463" s="962">
        <v>92514</v>
      </c>
      <c r="D463" s="67" t="s">
        <v>1004</v>
      </c>
      <c r="E463" s="958" t="s">
        <v>6</v>
      </c>
      <c r="F463" s="322">
        <f>CAS.BOMB.CIST.19!C109</f>
        <v>7.42</v>
      </c>
      <c r="G463" s="162">
        <v>48.34</v>
      </c>
      <c r="H463" s="313">
        <f t="shared" si="104"/>
        <v>62.27</v>
      </c>
      <c r="I463" s="313">
        <f t="shared" si="105"/>
        <v>462.04</v>
      </c>
      <c r="K463" s="751">
        <f t="shared" si="103"/>
        <v>1.23901642336864E-4</v>
      </c>
    </row>
    <row r="464" spans="1:11" s="166" customFormat="1" ht="41.25" customHeight="1" x14ac:dyDescent="0.2">
      <c r="A464" s="68" t="s">
        <v>1005</v>
      </c>
      <c r="B464" s="964" t="s">
        <v>282</v>
      </c>
      <c r="C464" s="962">
        <v>94970</v>
      </c>
      <c r="D464" s="67" t="s">
        <v>997</v>
      </c>
      <c r="E464" s="69" t="s">
        <v>2</v>
      </c>
      <c r="F464" s="322">
        <f>CAS.BOMB.CIST.19!C118</f>
        <v>0.74800000000000011</v>
      </c>
      <c r="G464" s="162">
        <v>510.58</v>
      </c>
      <c r="H464" s="313">
        <f t="shared" si="104"/>
        <v>657.73</v>
      </c>
      <c r="I464" s="313">
        <f t="shared" si="105"/>
        <v>491.98</v>
      </c>
      <c r="K464" s="751">
        <f t="shared" si="103"/>
        <v>1.3193041727315894E-4</v>
      </c>
    </row>
    <row r="465" spans="1:11" s="166" customFormat="1" ht="43.5" customHeight="1" x14ac:dyDescent="0.2">
      <c r="A465" s="68" t="s">
        <v>1006</v>
      </c>
      <c r="B465" s="964" t="s">
        <v>282</v>
      </c>
      <c r="C465" s="962">
        <v>92777</v>
      </c>
      <c r="D465" s="67" t="s">
        <v>999</v>
      </c>
      <c r="E465" s="68" t="s">
        <v>73</v>
      </c>
      <c r="F465" s="322">
        <f>CAS.BOMB.CIST.19!C127</f>
        <v>29.2</v>
      </c>
      <c r="G465" s="162">
        <v>14.65</v>
      </c>
      <c r="H465" s="313">
        <f t="shared" si="104"/>
        <v>18.87</v>
      </c>
      <c r="I465" s="313">
        <f t="shared" si="105"/>
        <v>551</v>
      </c>
      <c r="K465" s="751">
        <f t="shared" si="103"/>
        <v>1.4775734769200083E-4</v>
      </c>
    </row>
    <row r="466" spans="1:11" s="166" customFormat="1" ht="32.25" customHeight="1" x14ac:dyDescent="0.2">
      <c r="A466" s="68" t="s">
        <v>1007</v>
      </c>
      <c r="B466" s="987" t="s">
        <v>282</v>
      </c>
      <c r="C466" s="1281">
        <v>103670</v>
      </c>
      <c r="D466" s="67" t="s">
        <v>1285</v>
      </c>
      <c r="E466" s="68" t="s">
        <v>2</v>
      </c>
      <c r="F466" s="322">
        <f>CAS.BOMB.CIST.19!C133</f>
        <v>0.74800000000000011</v>
      </c>
      <c r="G466" s="162">
        <v>232.54</v>
      </c>
      <c r="H466" s="313">
        <f t="shared" si="104"/>
        <v>299.56</v>
      </c>
      <c r="I466" s="313">
        <f t="shared" si="105"/>
        <v>224.07</v>
      </c>
      <c r="K466" s="751">
        <f t="shared" si="103"/>
        <v>6.0087094187561934E-5</v>
      </c>
    </row>
    <row r="467" spans="1:11" s="166" customFormat="1" x14ac:dyDescent="0.2">
      <c r="A467" s="70" t="s">
        <v>768</v>
      </c>
      <c r="B467" s="1824"/>
      <c r="C467" s="1825"/>
      <c r="D467" s="988" t="s">
        <v>1029</v>
      </c>
      <c r="E467" s="68"/>
      <c r="F467" s="322"/>
      <c r="G467" s="162"/>
      <c r="H467" s="313"/>
      <c r="I467" s="313"/>
      <c r="K467" s="751">
        <f t="shared" si="103"/>
        <v>0</v>
      </c>
    </row>
    <row r="468" spans="1:11" s="166" customFormat="1" ht="42.75" customHeight="1" x14ac:dyDescent="0.2">
      <c r="A468" s="68" t="s">
        <v>1008</v>
      </c>
      <c r="B468" s="964" t="s">
        <v>282</v>
      </c>
      <c r="C468" s="962">
        <v>96531</v>
      </c>
      <c r="D468" s="67" t="s">
        <v>1009</v>
      </c>
      <c r="E468" s="958" t="s">
        <v>6</v>
      </c>
      <c r="F468" s="322">
        <f>CAS.BOMB.CIST.19!C142</f>
        <v>1.1599999999999999</v>
      </c>
      <c r="G468" s="162">
        <v>109.3</v>
      </c>
      <c r="H468" s="313">
        <f t="shared" si="104"/>
        <v>140.80000000000001</v>
      </c>
      <c r="I468" s="313">
        <f t="shared" si="105"/>
        <v>163.33000000000001</v>
      </c>
      <c r="K468" s="751">
        <f t="shared" si="103"/>
        <v>4.3798924861224135E-5</v>
      </c>
    </row>
    <row r="469" spans="1:11" s="166" customFormat="1" ht="28.5" customHeight="1" x14ac:dyDescent="0.2">
      <c r="A469" s="68" t="s">
        <v>1010</v>
      </c>
      <c r="B469" s="964" t="s">
        <v>282</v>
      </c>
      <c r="C469" s="962">
        <v>102487</v>
      </c>
      <c r="D469" s="67" t="s">
        <v>1011</v>
      </c>
      <c r="E469" s="958" t="s">
        <v>2</v>
      </c>
      <c r="F469" s="322">
        <f>CAS.BOMB.CIST.19!C150</f>
        <v>0.2</v>
      </c>
      <c r="G469" s="162">
        <v>571.62</v>
      </c>
      <c r="H469" s="313">
        <f t="shared" si="104"/>
        <v>736.36</v>
      </c>
      <c r="I469" s="313">
        <f t="shared" si="105"/>
        <v>147.27000000000001</v>
      </c>
      <c r="K469" s="751">
        <f t="shared" si="103"/>
        <v>3.949224064355892E-5</v>
      </c>
    </row>
    <row r="470" spans="1:11" s="166" customFormat="1" x14ac:dyDescent="0.2">
      <c r="A470" s="70" t="s">
        <v>769</v>
      </c>
      <c r="B470" s="1824"/>
      <c r="C470" s="1825"/>
      <c r="D470" s="988" t="s">
        <v>1030</v>
      </c>
      <c r="E470" s="1179"/>
      <c r="F470" s="322"/>
      <c r="G470" s="162"/>
      <c r="H470" s="313"/>
      <c r="I470" s="313"/>
      <c r="K470" s="751">
        <f t="shared" si="103"/>
        <v>0</v>
      </c>
    </row>
    <row r="471" spans="1:11" s="166" customFormat="1" ht="28.5" customHeight="1" x14ac:dyDescent="0.2">
      <c r="A471" s="68" t="s">
        <v>1012</v>
      </c>
      <c r="B471" s="1824" t="str">
        <f>COMPOSIÇÕES!A700</f>
        <v>COMPOSIÇÃO 66</v>
      </c>
      <c r="C471" s="1825"/>
      <c r="D471" s="67" t="str">
        <f>COMPOSIÇÕES!C699</f>
        <v>TAMPA EM ESTRUTURA DE AÇO (CANTONEIRA 2"X2"X1/4" E CHAPA GSG 1,95MM) - PARA CASA DE BOMBA</v>
      </c>
      <c r="E471" s="1179" t="s">
        <v>96</v>
      </c>
      <c r="F471" s="322">
        <f>CAS.BOMB.CIST.19!C156</f>
        <v>2</v>
      </c>
      <c r="G471" s="162">
        <f>COMPOSIÇÕES!M708</f>
        <v>952.99999999999989</v>
      </c>
      <c r="H471" s="313">
        <f t="shared" ref="H471:H473" si="106">ROUND((G471*$K$11),2)</f>
        <v>1227.6500000000001</v>
      </c>
      <c r="I471" s="313">
        <f t="shared" ref="I471:I473" si="107">ROUND(((F471*H471)),2)</f>
        <v>2455.3000000000002</v>
      </c>
      <c r="K471" s="751">
        <f t="shared" si="103"/>
        <v>6.5841854045039865E-4</v>
      </c>
    </row>
    <row r="472" spans="1:11" s="166" customFormat="1" ht="28.5" customHeight="1" x14ac:dyDescent="0.2">
      <c r="A472" s="68" t="s">
        <v>1013</v>
      </c>
      <c r="B472" s="1824" t="str">
        <f>COMPOSIÇÕES!A712</f>
        <v>COMPOSIÇÃO 67</v>
      </c>
      <c r="C472" s="1825"/>
      <c r="D472" s="67" t="str">
        <f>COMPOSIÇÕES!C711</f>
        <v>TAMPA EM ESTRUTURA DE AÇO (CANTONEIRA 2"X2"X1/4" E CHAPA GSG 1,95MM) COM APOIO EM CONCRETO - PARA CISTERNA</v>
      </c>
      <c r="E472" s="1179" t="s">
        <v>96</v>
      </c>
      <c r="F472" s="322">
        <f>CAS.BOMB.CIST.19!C160</f>
        <v>2</v>
      </c>
      <c r="G472" s="162">
        <f>COMPOSIÇÕES!M720</f>
        <v>650.24999999999989</v>
      </c>
      <c r="H472" s="313">
        <f t="shared" si="106"/>
        <v>837.65</v>
      </c>
      <c r="I472" s="313">
        <f t="shared" si="107"/>
        <v>1675.3</v>
      </c>
      <c r="K472" s="751">
        <f t="shared" si="103"/>
        <v>4.4925205914411796E-4</v>
      </c>
    </row>
    <row r="473" spans="1:11" s="166" customFormat="1" ht="28.5" customHeight="1" x14ac:dyDescent="0.2">
      <c r="A473" s="68" t="s">
        <v>1014</v>
      </c>
      <c r="B473" s="964" t="s">
        <v>282</v>
      </c>
      <c r="C473" s="962">
        <v>100704</v>
      </c>
      <c r="D473" s="67" t="s">
        <v>1015</v>
      </c>
      <c r="E473" s="1179" t="s">
        <v>96</v>
      </c>
      <c r="F473" s="322">
        <f>CAS.BOMB.CIST.19!C164</f>
        <v>16</v>
      </c>
      <c r="G473" s="162">
        <v>64.37</v>
      </c>
      <c r="H473" s="313">
        <f t="shared" si="106"/>
        <v>82.92</v>
      </c>
      <c r="I473" s="313">
        <f t="shared" si="107"/>
        <v>1326.72</v>
      </c>
      <c r="K473" s="751">
        <f t="shared" si="103"/>
        <v>3.5577609497265217E-4</v>
      </c>
    </row>
    <row r="474" spans="1:11" s="166" customFormat="1" ht="12.75" customHeight="1" x14ac:dyDescent="0.2">
      <c r="A474" s="1817" t="s">
        <v>1161</v>
      </c>
      <c r="B474" s="1818"/>
      <c r="C474" s="1818"/>
      <c r="D474" s="1818"/>
      <c r="E474" s="1818"/>
      <c r="F474" s="1818"/>
      <c r="G474" s="1818"/>
      <c r="H474" s="1819"/>
      <c r="I474" s="141">
        <f>SUM(I455:I473)</f>
        <v>49782.240000000005</v>
      </c>
      <c r="K474" s="986"/>
    </row>
    <row r="475" spans="1:11" s="166" customFormat="1" ht="12.75" customHeight="1" thickBot="1" x14ac:dyDescent="0.25">
      <c r="A475" s="1"/>
      <c r="B475" s="1"/>
      <c r="C475" s="1"/>
      <c r="D475" s="1"/>
      <c r="E475" s="1"/>
      <c r="F475" s="1"/>
      <c r="G475" s="1"/>
      <c r="H475" s="1"/>
      <c r="I475" s="1126"/>
      <c r="K475" s="986"/>
    </row>
    <row r="476" spans="1:11" s="109" customFormat="1" ht="13.5" thickBot="1" x14ac:dyDescent="0.25">
      <c r="A476" s="90">
        <v>20</v>
      </c>
      <c r="B476" s="90"/>
      <c r="C476" s="90"/>
      <c r="D476" s="916" t="s">
        <v>772</v>
      </c>
      <c r="E476" s="917"/>
      <c r="F476" s="917"/>
      <c r="G476" s="917"/>
      <c r="H476" s="917"/>
      <c r="I476" s="918"/>
      <c r="J476" s="94">
        <f>I483/$I$488</f>
        <v>1.8943221375177524E-2</v>
      </c>
      <c r="K476" s="751"/>
    </row>
    <row r="477" spans="1:11" ht="12.75" customHeight="1" x14ac:dyDescent="0.2">
      <c r="A477" s="68" t="s">
        <v>770</v>
      </c>
      <c r="B477" s="958" t="s">
        <v>621</v>
      </c>
      <c r="C477" s="1179">
        <v>130715</v>
      </c>
      <c r="D477" s="67" t="s">
        <v>656</v>
      </c>
      <c r="E477" s="1179" t="s">
        <v>6</v>
      </c>
      <c r="F477" s="10">
        <f>'FAC. 20'!C21</f>
        <v>46.34</v>
      </c>
      <c r="G477" s="162">
        <v>121.32</v>
      </c>
      <c r="H477" s="138">
        <f t="shared" ref="H477:H482" si="108">ROUND((G477*$K$11),2)</f>
        <v>156.28</v>
      </c>
      <c r="I477" s="138">
        <f t="shared" ref="I477:I482" si="109">ROUND(((F477*H477)),2)</f>
        <v>7242.02</v>
      </c>
      <c r="K477" s="751">
        <f>I477/$I$488</f>
        <v>1.9420356935252704E-3</v>
      </c>
    </row>
    <row r="478" spans="1:11" ht="63.75" x14ac:dyDescent="0.2">
      <c r="A478" s="68" t="s">
        <v>1166</v>
      </c>
      <c r="B478" s="1824" t="str">
        <f>COMPOSIÇÕES!A596</f>
        <v>COMPOSIÇÃO 56</v>
      </c>
      <c r="C478" s="1825"/>
      <c r="D478" s="67" t="str">
        <f>COMPOSIÇÕES!C595</f>
        <v>FORNECIMENTO E INSTALAÇÃO DE BRISE HORIZONTAL EM MADEIRA DE LEI COM PINTURA EM VERNIZ, COM ESTRUTURA METÁLICAS EM PERFIS U - 75X4 E=2,35MM E INCLUINDO PINTURA ANTICORROSIVA SOBRE PERFIL METÁLICO - DIMENSÕES: (6,13+2,05)X6,26M - BRISE SOLEIL 01</v>
      </c>
      <c r="E478" s="1179" t="s">
        <v>96</v>
      </c>
      <c r="F478" s="10">
        <f>'FAC. 20'!C25</f>
        <v>1</v>
      </c>
      <c r="G478" s="162">
        <f>COMPOSIÇÕES!M609</f>
        <v>14103.33</v>
      </c>
      <c r="H478" s="138">
        <f t="shared" si="108"/>
        <v>18167.91</v>
      </c>
      <c r="I478" s="138">
        <f t="shared" si="109"/>
        <v>18167.91</v>
      </c>
      <c r="K478" s="751">
        <f>I478/$I$488</f>
        <v>4.8719459069092178E-3</v>
      </c>
    </row>
    <row r="479" spans="1:11" ht="63.75" x14ac:dyDescent="0.2">
      <c r="A479" s="68" t="s">
        <v>1167</v>
      </c>
      <c r="B479" s="1824" t="str">
        <f>COMPOSIÇÕES!A805</f>
        <v>COMPOSIÇÃO 76</v>
      </c>
      <c r="C479" s="1825"/>
      <c r="D479" s="67" t="str">
        <f>COMPOSIÇÕES!C804</f>
        <v>FORNECIMENTO E INSTALAÇÃO DE BRISE HORIZONTAL EM MADEIRA DE LEI COM PINTURA EM VERNIZ, COM ESTRUTURA METÁLICAS EM PERFIS U - 75X4 E=2,35MM E INCLUINDO PINTURA ANTICORROSIVA SOBRE PERFIL METÁLICO - DIMENSÕES:(4,20+4,15)X 6,26M BRISE SOLEIL 02</v>
      </c>
      <c r="E479" s="1179" t="s">
        <v>96</v>
      </c>
      <c r="F479" s="10">
        <f>'FAC. 20'!C29</f>
        <v>1</v>
      </c>
      <c r="G479" s="162">
        <f>COMPOSIÇÕES!M818</f>
        <v>13779.76</v>
      </c>
      <c r="H479" s="138">
        <f t="shared" si="108"/>
        <v>17751.09</v>
      </c>
      <c r="I479" s="138">
        <f t="shared" si="109"/>
        <v>17751.09</v>
      </c>
      <c r="K479" s="751"/>
    </row>
    <row r="480" spans="1:11" ht="38.25" customHeight="1" x14ac:dyDescent="0.2">
      <c r="A480" s="68" t="s">
        <v>1170</v>
      </c>
      <c r="B480" s="1824" t="str">
        <f>COMPOSIÇÕES!A822</f>
        <v>COMPOSIÇÃO 77</v>
      </c>
      <c r="C480" s="1825"/>
      <c r="D480" s="67" t="str">
        <f>COMPOSIÇÕES!C821</f>
        <v>PAINEL RIPADO COM SARRAFOS DE DIMENSÕES 3X7 CM PINTADOS COM IMUNIZANTE E ENVERNIZADOS, FIXADOS NAS PAREDES COM PARABOLT DIÂMETRO 3/8"</v>
      </c>
      <c r="E480" s="1197" t="s">
        <v>6</v>
      </c>
      <c r="F480" s="10">
        <f>'FAC. 20'!C41</f>
        <v>49</v>
      </c>
      <c r="G480" s="162">
        <f>COMPOSIÇÕES!M830</f>
        <v>134.53</v>
      </c>
      <c r="H480" s="138">
        <f t="shared" si="108"/>
        <v>173.3</v>
      </c>
      <c r="I480" s="138">
        <f t="shared" si="109"/>
        <v>8491.7000000000007</v>
      </c>
      <c r="K480" s="751"/>
    </row>
    <row r="481" spans="1:14" ht="38.25" customHeight="1" x14ac:dyDescent="0.2">
      <c r="A481" s="68" t="s">
        <v>1199</v>
      </c>
      <c r="B481" s="1824" t="str">
        <f>COMPOSIÇÕES!A834</f>
        <v>COMPOSIÇÃO 78</v>
      </c>
      <c r="C481" s="1825"/>
      <c r="D481" s="67" t="str">
        <f>COMPOSIÇÕES!C833</f>
        <v>ELEMENTO DECORATIVO EM ESTRUTURA DE METALON REVESTIDO EM ACM COM ACABAMENTO AMADEIRADO TIPO "CASTANHA", RETANGULAR, COM DIMENSÕES 0,30X0,50X2,90M</v>
      </c>
      <c r="E481" s="1197" t="s">
        <v>96</v>
      </c>
      <c r="F481" s="10">
        <f>'FAC. 20'!C45</f>
        <v>3</v>
      </c>
      <c r="G481" s="162">
        <f>COMPOSIÇÕES!M837</f>
        <v>1775.67</v>
      </c>
      <c r="H481" s="138">
        <f t="shared" si="108"/>
        <v>2287.42</v>
      </c>
      <c r="I481" s="138">
        <f t="shared" si="109"/>
        <v>6862.26</v>
      </c>
      <c r="K481" s="751"/>
    </row>
    <row r="482" spans="1:14" ht="38.25" customHeight="1" x14ac:dyDescent="0.2">
      <c r="A482" s="68" t="s">
        <v>1214</v>
      </c>
      <c r="B482" s="1824" t="str">
        <f>COMPOSIÇÕES!A857</f>
        <v>COMPOSIÇÃO 80</v>
      </c>
      <c r="C482" s="1825"/>
      <c r="D482" s="67" t="str">
        <f>COMPOSIÇÕES!C856</f>
        <v>Painel para fachada em Aço Corten com estrutura em metalon para fixação. Dimensões: 1,0x6,0m - Fornecimento e Instalação</v>
      </c>
      <c r="E482" s="1377" t="str">
        <f>COMPOSIÇÕES!M856</f>
        <v>m²</v>
      </c>
      <c r="F482" s="10">
        <f>'FAC. 20'!C52</f>
        <v>6</v>
      </c>
      <c r="G482" s="162">
        <f>COMPOSIÇÕES!M862</f>
        <v>1568.85</v>
      </c>
      <c r="H482" s="138">
        <f t="shared" si="108"/>
        <v>2020.99</v>
      </c>
      <c r="I482" s="138">
        <f t="shared" si="109"/>
        <v>12125.94</v>
      </c>
      <c r="K482" s="751"/>
    </row>
    <row r="483" spans="1:14" ht="12.75" customHeight="1" x14ac:dyDescent="0.2">
      <c r="A483" s="1817" t="s">
        <v>1162</v>
      </c>
      <c r="B483" s="1818"/>
      <c r="C483" s="1818"/>
      <c r="D483" s="1818"/>
      <c r="E483" s="1818"/>
      <c r="F483" s="1818"/>
      <c r="G483" s="1818"/>
      <c r="H483" s="1819"/>
      <c r="I483" s="141">
        <f>SUM(I477:I482)</f>
        <v>70640.92</v>
      </c>
      <c r="K483" s="751"/>
    </row>
    <row r="484" spans="1:14" ht="12.75" customHeight="1" thickBot="1" x14ac:dyDescent="0.25">
      <c r="A484" s="1"/>
      <c r="B484" s="1"/>
      <c r="C484" s="1"/>
      <c r="D484" s="1"/>
      <c r="E484" s="1"/>
      <c r="F484" s="1"/>
      <c r="G484" s="1"/>
      <c r="H484" s="1"/>
      <c r="I484" s="1126"/>
      <c r="K484" s="751"/>
    </row>
    <row r="485" spans="1:14" s="109" customFormat="1" ht="13.5" thickBot="1" x14ac:dyDescent="0.25">
      <c r="A485" s="90">
        <v>21</v>
      </c>
      <c r="B485" s="90"/>
      <c r="C485" s="90"/>
      <c r="D485" s="1827" t="s">
        <v>48</v>
      </c>
      <c r="E485" s="1828"/>
      <c r="F485" s="1828"/>
      <c r="G485" s="1828"/>
      <c r="H485" s="1828"/>
      <c r="I485" s="1829"/>
      <c r="J485" s="94">
        <f>I487/$I$488</f>
        <v>3.4933698529428497E-3</v>
      </c>
      <c r="K485" s="751"/>
    </row>
    <row r="486" spans="1:14" ht="12.75" customHeight="1" x14ac:dyDescent="0.2">
      <c r="A486" s="68" t="s">
        <v>1472</v>
      </c>
      <c r="B486" s="822" t="s">
        <v>621</v>
      </c>
      <c r="C486" s="821">
        <v>270220</v>
      </c>
      <c r="D486" s="67" t="s">
        <v>657</v>
      </c>
      <c r="E486" s="51" t="s">
        <v>6</v>
      </c>
      <c r="F486" s="10">
        <f>'SERV. FINAIS 21'!C16</f>
        <v>1480.35</v>
      </c>
      <c r="G486" s="162">
        <v>6.83</v>
      </c>
      <c r="H486" s="138">
        <f>ROUND((G486*$K$11),2)</f>
        <v>8.8000000000000007</v>
      </c>
      <c r="I486" s="138">
        <f>ROUND(((F486*H486)),2)</f>
        <v>13027.08</v>
      </c>
      <c r="K486" s="751">
        <f>I486/$I$488</f>
        <v>3.4933698529428497E-3</v>
      </c>
    </row>
    <row r="487" spans="1:14" ht="12.75" customHeight="1" thickBot="1" x14ac:dyDescent="0.25">
      <c r="A487" s="1859" t="s">
        <v>1163</v>
      </c>
      <c r="B487" s="1860"/>
      <c r="C487" s="1860"/>
      <c r="D487" s="1860"/>
      <c r="E487" s="1860"/>
      <c r="F487" s="1860"/>
      <c r="G487" s="1860"/>
      <c r="H487" s="1861"/>
      <c r="I487" s="141">
        <f>SUM(I486:I486)</f>
        <v>13027.08</v>
      </c>
      <c r="K487" s="751"/>
    </row>
    <row r="488" spans="1:14" ht="13.5" thickBot="1" x14ac:dyDescent="0.25">
      <c r="A488" s="1852" t="s">
        <v>50</v>
      </c>
      <c r="B488" s="1853"/>
      <c r="C488" s="1853"/>
      <c r="D488" s="1853"/>
      <c r="E488" s="1853"/>
      <c r="F488" s="1853"/>
      <c r="G488" s="1853"/>
      <c r="H488" s="1854"/>
      <c r="I488" s="886">
        <f>I130+I121+I97+I90+I82+I66+I22+I407+I380+I436+I451+I487+I29+I48+I483+I314+I298+I258+I15+I442+I474</f>
        <v>3729086.9700000007</v>
      </c>
      <c r="J488" s="159">
        <f>SUM(J13:J485)</f>
        <v>0.99999999999999967</v>
      </c>
    </row>
    <row r="490" spans="1:14" x14ac:dyDescent="0.2">
      <c r="G490" s="111"/>
      <c r="H490" s="111"/>
    </row>
    <row r="494" spans="1:14" x14ac:dyDescent="0.2">
      <c r="L494" s="166"/>
      <c r="M494" s="195"/>
      <c r="N494" s="196"/>
    </row>
    <row r="495" spans="1:14" x14ac:dyDescent="0.2">
      <c r="G495" s="166" t="s">
        <v>205</v>
      </c>
      <c r="H495" s="195">
        <v>3150624.0870000003</v>
      </c>
      <c r="I495" s="196">
        <v>0.9</v>
      </c>
      <c r="L495" s="109"/>
      <c r="M495" s="109"/>
      <c r="N495" s="109"/>
    </row>
    <row r="496" spans="1:14" x14ac:dyDescent="0.2">
      <c r="G496" s="109" t="s">
        <v>206</v>
      </c>
      <c r="H496" s="195">
        <f>I488-H495</f>
        <v>578462.88300000038</v>
      </c>
      <c r="I496" s="196">
        <v>0.1</v>
      </c>
      <c r="L496" s="166"/>
      <c r="M496" s="195"/>
      <c r="N496" s="196"/>
    </row>
    <row r="497" spans="7:14" x14ac:dyDescent="0.2">
      <c r="G497" s="166" t="s">
        <v>60</v>
      </c>
      <c r="H497" s="195">
        <f>SUM(H495:H496)</f>
        <v>3729086.9700000007</v>
      </c>
      <c r="I497" s="196">
        <f>H497/H497</f>
        <v>1</v>
      </c>
      <c r="L497" s="109"/>
      <c r="M497" s="109"/>
      <c r="N497" s="109"/>
    </row>
    <row r="499" spans="7:14" x14ac:dyDescent="0.2">
      <c r="L499" s="388"/>
    </row>
  </sheetData>
  <mergeCells count="141">
    <mergeCell ref="B205:C205"/>
    <mergeCell ref="B210:C210"/>
    <mergeCell ref="B215:C215"/>
    <mergeCell ref="B231:C231"/>
    <mergeCell ref="B252:C252"/>
    <mergeCell ref="B216:C216"/>
    <mergeCell ref="B217:C217"/>
    <mergeCell ref="B218:C218"/>
    <mergeCell ref="B219:C219"/>
    <mergeCell ref="B220:C220"/>
    <mergeCell ref="B223:C223"/>
    <mergeCell ref="B224:C224"/>
    <mergeCell ref="B229:C229"/>
    <mergeCell ref="B230:C230"/>
    <mergeCell ref="B150:C150"/>
    <mergeCell ref="B152:C152"/>
    <mergeCell ref="B166:C166"/>
    <mergeCell ref="B167:C167"/>
    <mergeCell ref="B168:C168"/>
    <mergeCell ref="B201:C201"/>
    <mergeCell ref="B202:C202"/>
    <mergeCell ref="B203:C203"/>
    <mergeCell ref="B204:C204"/>
    <mergeCell ref="A488:H488"/>
    <mergeCell ref="A442:H442"/>
    <mergeCell ref="B440:C440"/>
    <mergeCell ref="A48:H48"/>
    <mergeCell ref="B116:C116"/>
    <mergeCell ref="A82:H82"/>
    <mergeCell ref="A97:H97"/>
    <mergeCell ref="B115:C115"/>
    <mergeCell ref="B105:C105"/>
    <mergeCell ref="D68:I68"/>
    <mergeCell ref="D59:I59"/>
    <mergeCell ref="B57:C57"/>
    <mergeCell ref="B58:C58"/>
    <mergeCell ref="D99:I99"/>
    <mergeCell ref="B112:C112"/>
    <mergeCell ref="B113:C113"/>
    <mergeCell ref="B263:C263"/>
    <mergeCell ref="B312:C312"/>
    <mergeCell ref="B118:C118"/>
    <mergeCell ref="B151:C151"/>
    <mergeCell ref="B279:C279"/>
    <mergeCell ref="B339:C339"/>
    <mergeCell ref="A121:H121"/>
    <mergeCell ref="A487:H487"/>
    <mergeCell ref="A1:J1"/>
    <mergeCell ref="A66:H66"/>
    <mergeCell ref="A258:H258"/>
    <mergeCell ref="B3:J3"/>
    <mergeCell ref="B119:C119"/>
    <mergeCell ref="D87:I87"/>
    <mergeCell ref="D85:I85"/>
    <mergeCell ref="D84:I84"/>
    <mergeCell ref="D50:I50"/>
    <mergeCell ref="B55:C55"/>
    <mergeCell ref="A90:H90"/>
    <mergeCell ref="D92:I92"/>
    <mergeCell ref="B4:J4"/>
    <mergeCell ref="G2:H2"/>
    <mergeCell ref="A6:A7"/>
    <mergeCell ref="B2:F2"/>
    <mergeCell ref="D31:I31"/>
    <mergeCell ref="G5:J5"/>
    <mergeCell ref="A22:H22"/>
    <mergeCell ref="A29:H29"/>
    <mergeCell ref="G6:J6"/>
    <mergeCell ref="D24:I24"/>
    <mergeCell ref="B5:D5"/>
    <mergeCell ref="D123:I123"/>
    <mergeCell ref="B6:D7"/>
    <mergeCell ref="E5:F6"/>
    <mergeCell ref="E7:F7"/>
    <mergeCell ref="G7:J7"/>
    <mergeCell ref="D17:I17"/>
    <mergeCell ref="D13:I13"/>
    <mergeCell ref="B14:C14"/>
    <mergeCell ref="A15:H15"/>
    <mergeCell ref="A9:J9"/>
    <mergeCell ref="A451:H451"/>
    <mergeCell ref="D444:I444"/>
    <mergeCell ref="D485:I485"/>
    <mergeCell ref="A436:H436"/>
    <mergeCell ref="B447:C447"/>
    <mergeCell ref="A483:H483"/>
    <mergeCell ref="B446:C446"/>
    <mergeCell ref="D453:I453"/>
    <mergeCell ref="B478:C478"/>
    <mergeCell ref="B454:C454"/>
    <mergeCell ref="B480:C480"/>
    <mergeCell ref="B467:C467"/>
    <mergeCell ref="B470:C470"/>
    <mergeCell ref="B481:C481"/>
    <mergeCell ref="B482:C482"/>
    <mergeCell ref="B441:C441"/>
    <mergeCell ref="B471:C471"/>
    <mergeCell ref="B472:C472"/>
    <mergeCell ref="A474:H474"/>
    <mergeCell ref="B479:C479"/>
    <mergeCell ref="B462:C462"/>
    <mergeCell ref="B433:C433"/>
    <mergeCell ref="B434:C434"/>
    <mergeCell ref="B420:C420"/>
    <mergeCell ref="B421:C421"/>
    <mergeCell ref="B309:C309"/>
    <mergeCell ref="B310:C310"/>
    <mergeCell ref="B311:C311"/>
    <mergeCell ref="A314:H314"/>
    <mergeCell ref="A380:H380"/>
    <mergeCell ref="B384:C384"/>
    <mergeCell ref="D382:I382"/>
    <mergeCell ref="D316:I316"/>
    <mergeCell ref="B427:C427"/>
    <mergeCell ref="D409:I409"/>
    <mergeCell ref="B417:C417"/>
    <mergeCell ref="B418:C418"/>
    <mergeCell ref="A130:H130"/>
    <mergeCell ref="B419:C419"/>
    <mergeCell ref="A407:H407"/>
    <mergeCell ref="B387:C387"/>
    <mergeCell ref="B398:C398"/>
    <mergeCell ref="B401:C401"/>
    <mergeCell ref="B402:C402"/>
    <mergeCell ref="B403:C403"/>
    <mergeCell ref="B404:C404"/>
    <mergeCell ref="D132:I132"/>
    <mergeCell ref="A298:H298"/>
    <mergeCell ref="B385:C385"/>
    <mergeCell ref="B342:C342"/>
    <mergeCell ref="B371:C371"/>
    <mergeCell ref="B395:C395"/>
    <mergeCell ref="B397:C397"/>
    <mergeCell ref="B307:C307"/>
    <mergeCell ref="B308:C308"/>
    <mergeCell ref="B144:C144"/>
    <mergeCell ref="B145:C145"/>
    <mergeCell ref="B146:C146"/>
    <mergeCell ref="B147:C147"/>
    <mergeCell ref="B148:C148"/>
    <mergeCell ref="B149:C149"/>
  </mergeCells>
  <phoneticPr fontId="4" type="noConversion"/>
  <conditionalFormatting sqref="F408:H408 F11:H11 F261:F297 F301:F312">
    <cfRule type="cellIs" dxfId="10" priority="65" stopIfTrue="1" operator="equal">
      <formula>0</formula>
    </cfRule>
  </conditionalFormatting>
  <conditionalFormatting sqref="F355:F356 F358:F371">
    <cfRule type="cellIs" dxfId="9" priority="10" stopIfTrue="1" operator="equal">
      <formula>0</formula>
    </cfRule>
  </conditionalFormatting>
  <conditionalFormatting sqref="F342:F343">
    <cfRule type="cellIs" dxfId="8" priority="9" stopIfTrue="1" operator="equal">
      <formula>0</formula>
    </cfRule>
  </conditionalFormatting>
  <conditionalFormatting sqref="F344">
    <cfRule type="cellIs" dxfId="7" priority="8" stopIfTrue="1" operator="equal">
      <formula>0</formula>
    </cfRule>
  </conditionalFormatting>
  <conditionalFormatting sqref="F313">
    <cfRule type="cellIs" dxfId="6" priority="7" stopIfTrue="1" operator="equal">
      <formula>0</formula>
    </cfRule>
  </conditionalFormatting>
  <conditionalFormatting sqref="F139:F142 F134:F137 F182 F144:F164 F166:F171 F184:F187 F189:F192 F194:F198 F200:F213 F215:F235 F246:F257">
    <cfRule type="cellIs" dxfId="5" priority="6" stopIfTrue="1" operator="equal">
      <formula>0</formula>
    </cfRule>
  </conditionalFormatting>
  <conditionalFormatting sqref="F172 F176:F177 F174 F179:F180">
    <cfRule type="cellIs" dxfId="4" priority="5" stopIfTrue="1" operator="equal">
      <formula>0</formula>
    </cfRule>
  </conditionalFormatting>
  <conditionalFormatting sqref="F175">
    <cfRule type="cellIs" dxfId="3" priority="4" stopIfTrue="1" operator="equal">
      <formula>0</formula>
    </cfRule>
  </conditionalFormatting>
  <conditionalFormatting sqref="F181">
    <cfRule type="cellIs" dxfId="2" priority="3" stopIfTrue="1" operator="equal">
      <formula>0</formula>
    </cfRule>
  </conditionalFormatting>
  <conditionalFormatting sqref="F138">
    <cfRule type="cellIs" dxfId="1" priority="2" stopIfTrue="1" operator="equal">
      <formula>0</formula>
    </cfRule>
  </conditionalFormatting>
  <conditionalFormatting sqref="F236:F245">
    <cfRule type="cellIs" dxfId="0" priority="1" stopIfTrue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portrait" r:id="rId1"/>
  <headerFooter alignWithMargins="0"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view="pageBreakPreview" topLeftCell="A7" zoomScaleNormal="100" zoomScaleSheetLayoutView="100" workbookViewId="0">
      <selection activeCell="C19" sqref="C19"/>
    </sheetView>
  </sheetViews>
  <sheetFormatPr defaultRowHeight="12.75" x14ac:dyDescent="0.2"/>
  <cols>
    <col min="1" max="1" width="14.42578125" customWidth="1"/>
  </cols>
  <sheetData>
    <row r="1" spans="1:11" ht="85.5" customHeight="1" x14ac:dyDescent="0.2">
      <c r="A1" s="1777" t="s">
        <v>670</v>
      </c>
      <c r="B1" s="1777"/>
      <c r="C1" s="1777"/>
      <c r="D1" s="1777"/>
      <c r="E1" s="1777"/>
      <c r="F1" s="1777"/>
      <c r="G1" s="1777"/>
      <c r="H1" s="1777"/>
      <c r="I1" s="1777"/>
      <c r="J1" s="1777"/>
    </row>
    <row r="2" spans="1:11" ht="15" x14ac:dyDescent="0.2">
      <c r="A2" s="326" t="s">
        <v>126</v>
      </c>
      <c r="B2" s="1848" t="str">
        <f>ORÇ!B2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ORÇ!I2</f>
        <v>PLACAS / PA</v>
      </c>
      <c r="J2" s="1864"/>
    </row>
    <row r="3" spans="1:11" ht="15" x14ac:dyDescent="0.2">
      <c r="A3" s="326" t="s">
        <v>127</v>
      </c>
      <c r="B3" s="1836" t="str">
        <f>ORÇ!B3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</row>
    <row r="4" spans="1:11" ht="15" x14ac:dyDescent="0.2">
      <c r="A4" s="326" t="s">
        <v>228</v>
      </c>
      <c r="B4" s="1848" t="str">
        <f>ORÇ!B4</f>
        <v>RUA OLAVO BILAC N° 408, BAIRRO CENTRO – PLACAS/PARÁ</v>
      </c>
      <c r="C4" s="1848"/>
      <c r="D4" s="1848"/>
      <c r="E4" s="1848"/>
      <c r="F4" s="1848"/>
      <c r="G4" s="1848"/>
      <c r="H4" s="1848"/>
      <c r="I4" s="1848"/>
      <c r="J4" s="1848"/>
    </row>
    <row r="5" spans="1:11" ht="15" x14ac:dyDescent="0.2">
      <c r="A5" s="334" t="s">
        <v>128</v>
      </c>
      <c r="B5" s="1868">
        <f>ORÇ!B5</f>
        <v>0.28820000000000001</v>
      </c>
      <c r="C5" s="1868"/>
      <c r="D5" s="1868"/>
      <c r="E5" s="1837" t="s">
        <v>103</v>
      </c>
      <c r="F5" s="1838"/>
      <c r="G5" s="1869" t="str">
        <f>ORÇ!G5</f>
        <v>SINAPI ABRIL/2022 - DESONERADA</v>
      </c>
      <c r="H5" s="1869"/>
      <c r="I5" s="1869"/>
      <c r="J5" s="1869"/>
    </row>
    <row r="6" spans="1:11" x14ac:dyDescent="0.2">
      <c r="A6" s="1870" t="s">
        <v>129</v>
      </c>
      <c r="B6" s="1836" t="str">
        <f>ORÇ!B6</f>
        <v>MARUZA BAPTISTA</v>
      </c>
      <c r="C6" s="1836"/>
      <c r="D6" s="1836"/>
      <c r="E6" s="1715"/>
      <c r="F6" s="1716"/>
      <c r="G6" s="1869"/>
      <c r="H6" s="1869"/>
      <c r="I6" s="1869"/>
      <c r="J6" s="1869"/>
    </row>
    <row r="7" spans="1:11" ht="33" customHeight="1" x14ac:dyDescent="0.2">
      <c r="A7" s="1871"/>
      <c r="B7" s="1836"/>
      <c r="C7" s="1836"/>
      <c r="D7" s="1836"/>
      <c r="E7" s="1700" t="s">
        <v>130</v>
      </c>
      <c r="F7" s="1701"/>
      <c r="G7" s="1872" t="str">
        <f>ORÇ!G7</f>
        <v>CAU - A : 28510-2</v>
      </c>
      <c r="H7" s="1872"/>
      <c r="I7" s="1872"/>
      <c r="J7" s="1872"/>
    </row>
    <row r="8" spans="1:11" ht="13.5" thickBot="1" x14ac:dyDescent="0.25"/>
    <row r="9" spans="1:11" ht="13.5" thickBot="1" x14ac:dyDescent="0.25">
      <c r="A9" s="1865" t="s">
        <v>447</v>
      </c>
      <c r="B9" s="1866"/>
      <c r="C9" s="1866"/>
      <c r="D9" s="1866"/>
      <c r="E9" s="1866"/>
      <c r="F9" s="1866"/>
      <c r="G9" s="1866"/>
      <c r="H9" s="1866"/>
      <c r="I9" s="1866"/>
      <c r="J9" s="1867"/>
      <c r="K9" s="163"/>
    </row>
    <row r="10" spans="1:1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7"/>
      <c r="K10" s="297"/>
    </row>
    <row r="11" spans="1:11" ht="12.75" customHeight="1" thickBot="1" x14ac:dyDescent="0.25">
      <c r="A11" s="1865" t="str">
        <f>ORÇ!D13</f>
        <v>Administração da obra</v>
      </c>
      <c r="B11" s="1866"/>
      <c r="C11" s="1866"/>
      <c r="D11" s="1866"/>
      <c r="E11" s="1866"/>
      <c r="F11" s="1866"/>
      <c r="G11" s="1866"/>
      <c r="H11" s="1866"/>
      <c r="I11" s="1866"/>
      <c r="J11" s="1867"/>
      <c r="K11" s="298"/>
    </row>
    <row r="13" spans="1:11" s="38" customFormat="1" x14ac:dyDescent="0.2">
      <c r="A13" s="646">
        <f>[2]ORÇ!A13</f>
        <v>0</v>
      </c>
      <c r="B13" s="376" t="str">
        <f>[3]ORÇAMENTO!D12</f>
        <v>ADMINISTRAÇÃO LOCAL (ENGENHEIRO CIVIL E ENCARREGADO DE OBRAS)</v>
      </c>
      <c r="C13" s="632"/>
      <c r="D13" s="632"/>
      <c r="E13" s="632"/>
      <c r="F13" s="632"/>
      <c r="G13" s="632"/>
      <c r="H13" s="632"/>
      <c r="I13" s="632"/>
      <c r="J13" s="647"/>
    </row>
    <row r="14" spans="1:11" s="38" customFormat="1" x14ac:dyDescent="0.2">
      <c r="A14" s="648" t="str">
        <f>[2]ORÇ!A14</f>
        <v>0.1</v>
      </c>
      <c r="B14" s="376" t="str">
        <f>[2]ORÇ!D14</f>
        <v>ADMINISTRAÇÃO DA OBRA COM ENGENHEIRO CIVIL JUNIOR E ENCARREGADO GERAL</v>
      </c>
      <c r="C14" s="421"/>
      <c r="D14" s="421"/>
      <c r="E14" s="421"/>
      <c r="F14" s="421"/>
      <c r="G14" s="421"/>
      <c r="H14" s="421"/>
      <c r="I14" s="421"/>
      <c r="J14" s="647"/>
    </row>
    <row r="15" spans="1:11" s="38" customFormat="1" ht="13.5" customHeight="1" x14ac:dyDescent="0.2">
      <c r="A15" s="649"/>
      <c r="B15" s="421"/>
      <c r="C15" s="421"/>
      <c r="D15" s="421"/>
      <c r="E15" s="421"/>
      <c r="F15" s="421"/>
      <c r="G15" s="421"/>
      <c r="H15" s="421"/>
      <c r="I15" s="421"/>
      <c r="J15" s="647"/>
    </row>
    <row r="16" spans="1:11" s="38" customFormat="1" ht="13.5" customHeight="1" x14ac:dyDescent="0.2">
      <c r="A16" s="649"/>
      <c r="B16" s="421"/>
      <c r="C16" s="421"/>
      <c r="D16" s="421"/>
      <c r="E16" s="421"/>
      <c r="F16" s="421"/>
      <c r="G16" s="421"/>
      <c r="H16" s="421"/>
      <c r="I16" s="421"/>
      <c r="J16" s="647"/>
    </row>
    <row r="17" spans="1:10" s="38" customFormat="1" ht="13.5" customHeight="1" x14ac:dyDescent="0.2">
      <c r="A17" s="649"/>
      <c r="B17" s="376" t="s">
        <v>449</v>
      </c>
      <c r="C17" s="421"/>
      <c r="D17" s="421"/>
      <c r="E17" s="421"/>
      <c r="F17" s="421"/>
      <c r="G17" s="421"/>
      <c r="H17" s="421"/>
      <c r="I17" s="421"/>
      <c r="J17" s="647"/>
    </row>
    <row r="18" spans="1:10" s="38" customFormat="1" ht="13.5" customHeight="1" x14ac:dyDescent="0.2">
      <c r="A18" s="649"/>
      <c r="B18" s="650"/>
      <c r="C18" s="421" t="s">
        <v>450</v>
      </c>
      <c r="D18" s="421"/>
      <c r="E18" s="421" t="s">
        <v>451</v>
      </c>
      <c r="F18" s="421"/>
      <c r="G18" s="421" t="s">
        <v>452</v>
      </c>
      <c r="H18" s="421"/>
      <c r="I18" s="421"/>
      <c r="J18" s="647"/>
    </row>
    <row r="19" spans="1:10" s="38" customFormat="1" ht="13.5" customHeight="1" x14ac:dyDescent="0.2">
      <c r="A19" s="649"/>
      <c r="B19" s="421" t="s">
        <v>76</v>
      </c>
      <c r="C19" s="421">
        <v>1</v>
      </c>
      <c r="D19" s="421" t="s">
        <v>71</v>
      </c>
      <c r="E19" s="421">
        <v>15</v>
      </c>
      <c r="F19" s="421" t="s">
        <v>71</v>
      </c>
      <c r="G19" s="421">
        <v>12</v>
      </c>
      <c r="H19" s="421" t="s">
        <v>72</v>
      </c>
      <c r="I19" s="421">
        <f>ROUND((C19*E19*G19),2)</f>
        <v>180</v>
      </c>
      <c r="J19" s="651" t="s">
        <v>98</v>
      </c>
    </row>
    <row r="20" spans="1:10" s="38" customFormat="1" ht="13.5" customHeight="1" x14ac:dyDescent="0.2">
      <c r="A20" s="649"/>
      <c r="B20" s="389"/>
      <c r="C20" s="421"/>
      <c r="D20" s="421"/>
      <c r="E20" s="421"/>
      <c r="F20" s="421"/>
      <c r="G20" s="421"/>
      <c r="H20" s="421"/>
      <c r="I20" s="421"/>
      <c r="J20" s="647"/>
    </row>
    <row r="21" spans="1:10" s="38" customFormat="1" ht="13.5" customHeight="1" x14ac:dyDescent="0.2">
      <c r="A21" s="649"/>
      <c r="B21" s="376" t="s">
        <v>453</v>
      </c>
      <c r="C21" s="421"/>
      <c r="D21" s="421"/>
      <c r="E21" s="421"/>
      <c r="F21" s="421"/>
      <c r="G21" s="421"/>
      <c r="H21" s="421"/>
      <c r="I21" s="421"/>
      <c r="J21" s="647"/>
    </row>
    <row r="22" spans="1:10" s="38" customFormat="1" ht="13.5" customHeight="1" x14ac:dyDescent="0.2">
      <c r="A22" s="649"/>
      <c r="B22" s="650"/>
      <c r="C22" s="421" t="s">
        <v>450</v>
      </c>
      <c r="D22" s="421"/>
      <c r="E22" s="421" t="s">
        <v>451</v>
      </c>
      <c r="F22" s="421"/>
      <c r="G22" s="421" t="s">
        <v>452</v>
      </c>
      <c r="H22" s="421"/>
      <c r="I22" s="421"/>
      <c r="J22" s="647"/>
    </row>
    <row r="23" spans="1:10" s="38" customFormat="1" ht="13.5" customHeight="1" x14ac:dyDescent="0.2">
      <c r="A23" s="649"/>
      <c r="B23" s="421" t="s">
        <v>76</v>
      </c>
      <c r="C23" s="421">
        <v>8</v>
      </c>
      <c r="D23" s="421" t="s">
        <v>71</v>
      </c>
      <c r="E23" s="421">
        <v>22</v>
      </c>
      <c r="F23" s="421" t="s">
        <v>71</v>
      </c>
      <c r="G23" s="421">
        <f>G19</f>
        <v>12</v>
      </c>
      <c r="H23" s="421" t="s">
        <v>72</v>
      </c>
      <c r="I23" s="421">
        <f>ROUND((C23*E23*G23),2)</f>
        <v>2112</v>
      </c>
      <c r="J23" s="651" t="s">
        <v>98</v>
      </c>
    </row>
    <row r="24" spans="1:10" s="38" customFormat="1" ht="13.5" customHeight="1" x14ac:dyDescent="0.2">
      <c r="A24" s="649"/>
      <c r="B24" s="421"/>
      <c r="C24" s="421"/>
      <c r="D24" s="421"/>
      <c r="E24" s="421"/>
      <c r="F24" s="421"/>
      <c r="G24" s="421"/>
      <c r="H24" s="421"/>
      <c r="I24" s="421"/>
      <c r="J24" s="647"/>
    </row>
    <row r="25" spans="1:10" s="38" customFormat="1" x14ac:dyDescent="0.2">
      <c r="A25" s="649"/>
      <c r="B25" s="321" t="s">
        <v>70</v>
      </c>
      <c r="C25" s="652">
        <v>1</v>
      </c>
      <c r="D25" s="173" t="s">
        <v>96</v>
      </c>
      <c r="E25" s="421"/>
      <c r="F25" s="421"/>
      <c r="G25" s="421"/>
      <c r="H25" s="421"/>
      <c r="I25" s="421"/>
      <c r="J25" s="647"/>
    </row>
  </sheetData>
  <mergeCells count="16">
    <mergeCell ref="A9:J9"/>
    <mergeCell ref="A10:J10"/>
    <mergeCell ref="A11:J11"/>
    <mergeCell ref="B5:D5"/>
    <mergeCell ref="E5:F6"/>
    <mergeCell ref="G5:J6"/>
    <mergeCell ref="A6:A7"/>
    <mergeCell ref="B6:D7"/>
    <mergeCell ref="E7:F7"/>
    <mergeCell ref="G7:J7"/>
    <mergeCell ref="B4:J4"/>
    <mergeCell ref="A1:J1"/>
    <mergeCell ref="B2:F2"/>
    <mergeCell ref="G2:H2"/>
    <mergeCell ref="I2:J2"/>
    <mergeCell ref="B3:J3"/>
  </mergeCells>
  <pageMargins left="0.511811024" right="0.511811024" top="0.78740157499999996" bottom="0.78740157499999996" header="0.31496062000000002" footer="0.31496062000000002"/>
  <pageSetup paperSize="9" scale="87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7"/>
  <sheetViews>
    <sheetView view="pageBreakPreview" topLeftCell="A10" zoomScaleNormal="100" zoomScaleSheetLayoutView="100" workbookViewId="0">
      <selection activeCell="H23" sqref="H23"/>
    </sheetView>
  </sheetViews>
  <sheetFormatPr defaultRowHeight="12.75" x14ac:dyDescent="0.2"/>
  <cols>
    <col min="1" max="1" width="14.140625" customWidth="1"/>
    <col min="2" max="2" width="14.28515625" customWidth="1"/>
    <col min="3" max="3" width="13.140625" customWidth="1"/>
    <col min="4" max="5" width="10.85546875" customWidth="1"/>
    <col min="6" max="6" width="11.42578125" customWidth="1"/>
    <col min="9" max="9" width="13.5703125" customWidth="1"/>
  </cols>
  <sheetData>
    <row r="1" spans="1:11" ht="72" customHeight="1" x14ac:dyDescent="0.2">
      <c r="A1" s="1777" t="str">
        <f>'ADM. LOC. 1'!A1:J1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</row>
    <row r="2" spans="1:11" ht="15" x14ac:dyDescent="0.2">
      <c r="A2" s="326" t="s">
        <v>126</v>
      </c>
      <c r="B2" s="1848" t="str">
        <f>ORÇ!B2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ORÇ!I2</f>
        <v>PLACAS / PA</v>
      </c>
      <c r="J2" s="1864"/>
    </row>
    <row r="3" spans="1:11" ht="15" x14ac:dyDescent="0.2">
      <c r="A3" s="326" t="s">
        <v>127</v>
      </c>
      <c r="B3" s="1836" t="str">
        <f>ORÇ!B3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</row>
    <row r="4" spans="1:11" ht="15" x14ac:dyDescent="0.2">
      <c r="A4" s="326" t="s">
        <v>228</v>
      </c>
      <c r="B4" s="1848" t="str">
        <f>ORÇ!B4</f>
        <v>RUA OLAVO BILAC N° 408, BAIRRO CENTRO – PLACAS/PARÁ</v>
      </c>
      <c r="C4" s="1848"/>
      <c r="D4" s="1848"/>
      <c r="E4" s="1848"/>
      <c r="F4" s="1848"/>
      <c r="G4" s="1848"/>
      <c r="H4" s="1848"/>
      <c r="I4" s="1848"/>
      <c r="J4" s="1848"/>
    </row>
    <row r="5" spans="1:11" ht="15" x14ac:dyDescent="0.2">
      <c r="A5" s="334" t="s">
        <v>128</v>
      </c>
      <c r="B5" s="1868">
        <f>ORÇ!B5</f>
        <v>0.28820000000000001</v>
      </c>
      <c r="C5" s="1868"/>
      <c r="D5" s="1868"/>
      <c r="E5" s="1837" t="s">
        <v>103</v>
      </c>
      <c r="F5" s="1838"/>
      <c r="G5" s="1869" t="str">
        <f>ORÇ!G5</f>
        <v>SINAPI ABRIL/2022 - DESONERADA</v>
      </c>
      <c r="H5" s="1869"/>
      <c r="I5" s="1869"/>
      <c r="J5" s="1869"/>
    </row>
    <row r="6" spans="1:11" x14ac:dyDescent="0.2">
      <c r="A6" s="1870" t="s">
        <v>129</v>
      </c>
      <c r="B6" s="1836" t="str">
        <f>ORÇ!B6</f>
        <v>MARUZA BAPTISTA</v>
      </c>
      <c r="C6" s="1836"/>
      <c r="D6" s="1836"/>
      <c r="E6" s="1715"/>
      <c r="F6" s="1716"/>
      <c r="G6" s="1869"/>
      <c r="H6" s="1869"/>
      <c r="I6" s="1869"/>
      <c r="J6" s="1869"/>
    </row>
    <row r="7" spans="1:11" ht="33" customHeight="1" x14ac:dyDescent="0.2">
      <c r="A7" s="1871"/>
      <c r="B7" s="1836"/>
      <c r="C7" s="1836"/>
      <c r="D7" s="1836"/>
      <c r="E7" s="1700" t="s">
        <v>130</v>
      </c>
      <c r="F7" s="1701"/>
      <c r="G7" s="1872" t="str">
        <f>ORÇ!G7</f>
        <v>CAU - A : 28510-2</v>
      </c>
      <c r="H7" s="1872"/>
      <c r="I7" s="1872"/>
      <c r="J7" s="1872"/>
    </row>
    <row r="8" spans="1:11" ht="13.5" thickBot="1" x14ac:dyDescent="0.25"/>
    <row r="9" spans="1:11" ht="13.5" thickBot="1" x14ac:dyDescent="0.25">
      <c r="A9" s="1865" t="s">
        <v>82</v>
      </c>
      <c r="B9" s="1866"/>
      <c r="C9" s="1866"/>
      <c r="D9" s="1866"/>
      <c r="E9" s="1866"/>
      <c r="F9" s="1866"/>
      <c r="G9" s="1866"/>
      <c r="H9" s="1866"/>
      <c r="I9" s="1866"/>
      <c r="J9" s="1867"/>
      <c r="K9" s="163"/>
    </row>
    <row r="10" spans="1:1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7"/>
      <c r="K10" s="297"/>
    </row>
    <row r="11" spans="1:11" ht="12.75" customHeight="1" thickBot="1" x14ac:dyDescent="0.25">
      <c r="A11" s="1865" t="str">
        <f>ORÇ!D17</f>
        <v xml:space="preserve">Serviços Preliminares </v>
      </c>
      <c r="B11" s="1866"/>
      <c r="C11" s="1866"/>
      <c r="D11" s="1866"/>
      <c r="E11" s="1866"/>
      <c r="F11" s="1866"/>
      <c r="G11" s="1866"/>
      <c r="H11" s="1866"/>
      <c r="I11" s="1866"/>
      <c r="J11" s="1867"/>
      <c r="K11" s="298"/>
    </row>
    <row r="12" spans="1:11" x14ac:dyDescent="0.2">
      <c r="A12" s="21"/>
      <c r="B12" s="22"/>
      <c r="C12" s="22"/>
      <c r="D12" s="22"/>
      <c r="E12" s="22"/>
      <c r="F12" s="22"/>
      <c r="G12" s="22"/>
      <c r="H12" s="22"/>
      <c r="I12" s="22"/>
      <c r="J12" s="22"/>
    </row>
    <row r="13" spans="1:11" x14ac:dyDescent="0.2">
      <c r="A13" s="181">
        <f>ORÇ!A17</f>
        <v>2</v>
      </c>
      <c r="B13" s="23" t="s">
        <v>69</v>
      </c>
      <c r="C13" s="24"/>
      <c r="D13" s="24"/>
      <c r="E13" s="24"/>
      <c r="F13" s="24"/>
      <c r="G13" s="24"/>
      <c r="H13" s="24"/>
      <c r="I13" s="24"/>
      <c r="J13" s="24"/>
    </row>
    <row r="14" spans="1:11" x14ac:dyDescent="0.2">
      <c r="A14" s="23" t="str">
        <f>ORÇ!A18</f>
        <v>2.1</v>
      </c>
      <c r="B14" s="23" t="str">
        <f>ORÇ!D18</f>
        <v>Placa de obra em lona com plotagem de gráfica</v>
      </c>
      <c r="C14" s="24"/>
      <c r="D14" s="24"/>
      <c r="E14" s="24"/>
      <c r="F14" s="24"/>
      <c r="G14" s="24"/>
      <c r="H14" s="24"/>
      <c r="I14" s="24"/>
      <c r="J14" s="24"/>
    </row>
    <row r="15" spans="1:11" x14ac:dyDescent="0.2">
      <c r="A15" s="23"/>
      <c r="B15" s="25"/>
      <c r="C15" s="25"/>
      <c r="D15" s="25"/>
      <c r="E15" s="25"/>
      <c r="F15" s="25"/>
      <c r="G15" s="25"/>
      <c r="H15" s="25"/>
      <c r="I15" s="25"/>
      <c r="J15" s="25"/>
    </row>
    <row r="16" spans="1:11" ht="13.5" customHeight="1" x14ac:dyDescent="0.2">
      <c r="A16" s="23"/>
      <c r="B16" s="25" t="s">
        <v>70</v>
      </c>
      <c r="C16" s="25">
        <v>3</v>
      </c>
      <c r="D16" s="26" t="s">
        <v>71</v>
      </c>
      <c r="E16" s="25">
        <v>2</v>
      </c>
      <c r="F16" s="25"/>
      <c r="G16" s="25"/>
      <c r="H16" s="25"/>
      <c r="I16" s="25"/>
      <c r="J16" s="25"/>
    </row>
    <row r="17" spans="1:10" x14ac:dyDescent="0.2">
      <c r="A17" s="23"/>
      <c r="B17" s="167" t="s">
        <v>70</v>
      </c>
      <c r="C17" s="168">
        <f>ROUND((C16*E16),2)</f>
        <v>6</v>
      </c>
      <c r="D17" s="169" t="s">
        <v>6</v>
      </c>
      <c r="E17" s="25"/>
      <c r="F17" s="25"/>
      <c r="G17" s="25"/>
      <c r="H17" s="25"/>
      <c r="I17" s="25"/>
      <c r="J17" s="25"/>
    </row>
    <row r="18" spans="1:10" x14ac:dyDescent="0.2">
      <c r="A18" s="23"/>
      <c r="B18" s="25"/>
      <c r="C18" s="25"/>
      <c r="D18" s="25"/>
      <c r="E18" s="25"/>
      <c r="F18" s="25"/>
      <c r="G18" s="25"/>
      <c r="H18" s="25"/>
      <c r="I18" s="25"/>
      <c r="J18" s="25"/>
    </row>
    <row r="19" spans="1:10" x14ac:dyDescent="0.2">
      <c r="A19" s="23"/>
      <c r="B19" s="1874" t="str">
        <f>ORÇ!D19</f>
        <v>Locação da obra a trena</v>
      </c>
      <c r="C19" s="1874"/>
      <c r="D19" s="1874"/>
      <c r="E19" s="1874"/>
      <c r="F19" s="1874"/>
      <c r="G19" s="1874"/>
      <c r="H19" s="1874"/>
      <c r="I19" s="1874"/>
      <c r="J19" s="25"/>
    </row>
    <row r="20" spans="1:10" x14ac:dyDescent="0.2">
      <c r="A20" s="253" t="str">
        <f>ORÇ!A19</f>
        <v>2.2</v>
      </c>
      <c r="B20" s="1874"/>
      <c r="C20" s="1874"/>
      <c r="D20" s="1874"/>
      <c r="E20" s="1874"/>
      <c r="F20" s="1874"/>
      <c r="G20" s="1874"/>
      <c r="H20" s="1874"/>
      <c r="I20" s="1874"/>
      <c r="J20" s="252"/>
    </row>
    <row r="21" spans="1:10" x14ac:dyDescent="0.2">
      <c r="A21" s="554"/>
      <c r="B21" s="552"/>
      <c r="C21" s="552"/>
      <c r="D21" s="552"/>
      <c r="E21" s="552"/>
      <c r="F21" s="552"/>
      <c r="G21" s="552"/>
      <c r="H21" s="552"/>
      <c r="I21" s="552"/>
      <c r="J21" s="553"/>
    </row>
    <row r="22" spans="1:10" x14ac:dyDescent="0.2">
      <c r="A22" s="554"/>
      <c r="B22" s="1875" t="s">
        <v>254</v>
      </c>
      <c r="C22" s="1876"/>
      <c r="D22" s="1876"/>
      <c r="E22" s="1877"/>
      <c r="F22" s="552"/>
      <c r="G22" s="553"/>
    </row>
    <row r="23" spans="1:10" s="38" customFormat="1" x14ac:dyDescent="0.2">
      <c r="A23" s="385"/>
      <c r="B23" s="578">
        <v>53.09</v>
      </c>
      <c r="C23" s="578">
        <v>60.15</v>
      </c>
      <c r="D23" s="578">
        <v>53.09</v>
      </c>
      <c r="E23" s="578">
        <v>60.15</v>
      </c>
      <c r="F23" s="419"/>
      <c r="G23" s="555"/>
    </row>
    <row r="24" spans="1:10" s="38" customFormat="1" x14ac:dyDescent="0.2">
      <c r="A24" s="385"/>
      <c r="B24" s="419"/>
      <c r="C24" s="419"/>
      <c r="D24" s="419"/>
      <c r="E24" s="419"/>
      <c r="F24" s="419"/>
      <c r="G24" s="419"/>
      <c r="H24" s="419"/>
      <c r="I24" s="419"/>
      <c r="J24" s="555"/>
    </row>
    <row r="25" spans="1:10" x14ac:dyDescent="0.2">
      <c r="A25" s="318"/>
      <c r="B25" s="321" t="s">
        <v>233</v>
      </c>
      <c r="C25" s="167">
        <f>SUM(B23:E23)</f>
        <v>226.48000000000002</v>
      </c>
      <c r="D25" s="173" t="s">
        <v>17</v>
      </c>
      <c r="E25" s="317"/>
      <c r="F25" s="28"/>
      <c r="G25" s="29"/>
      <c r="H25" s="28"/>
      <c r="I25" s="30"/>
      <c r="J25" s="25"/>
    </row>
    <row r="26" spans="1:10" x14ac:dyDescent="0.2">
      <c r="A26" s="1384"/>
      <c r="B26" s="1508"/>
      <c r="C26" s="1508"/>
      <c r="D26" s="1508"/>
      <c r="E26" s="1508"/>
      <c r="F26" s="28"/>
      <c r="G26" s="29"/>
      <c r="H26" s="28"/>
      <c r="I26" s="30"/>
      <c r="J26" s="1507"/>
    </row>
    <row r="27" spans="1:10" x14ac:dyDescent="0.2">
      <c r="A27" s="23" t="str">
        <f>ORÇ!A20</f>
        <v>2.3</v>
      </c>
      <c r="B27" s="1874" t="str">
        <f>ORÇ!D20</f>
        <v>BARRACÃO DE MADEIRA/ALMOXARIFADO</v>
      </c>
      <c r="C27" s="1874"/>
      <c r="D27" s="1874"/>
      <c r="E27" s="1874"/>
      <c r="F27" s="1874"/>
      <c r="G27" s="1874"/>
      <c r="H27" s="1874"/>
      <c r="I27" s="1874"/>
      <c r="J27" s="24"/>
    </row>
    <row r="28" spans="1:10" x14ac:dyDescent="0.2">
      <c r="J28" s="1507"/>
    </row>
    <row r="29" spans="1:10" x14ac:dyDescent="0.2">
      <c r="A29" s="178"/>
      <c r="B29" s="175"/>
      <c r="C29" s="36" t="s">
        <v>81</v>
      </c>
      <c r="D29" s="175"/>
      <c r="E29" s="316" t="s">
        <v>77</v>
      </c>
      <c r="F29" s="175"/>
      <c r="G29" s="175"/>
      <c r="H29" s="175"/>
      <c r="I29" s="175"/>
      <c r="J29" s="174"/>
    </row>
    <row r="30" spans="1:10" x14ac:dyDescent="0.2">
      <c r="A30" s="27"/>
      <c r="B30" s="25" t="s">
        <v>70</v>
      </c>
      <c r="C30" s="25">
        <v>2.5</v>
      </c>
      <c r="D30" s="26" t="s">
        <v>71</v>
      </c>
      <c r="E30" s="25">
        <v>6.5</v>
      </c>
      <c r="F30" s="26"/>
      <c r="G30" s="25"/>
      <c r="H30" s="1873"/>
      <c r="I30" s="1873"/>
      <c r="J30" s="25"/>
    </row>
    <row r="31" spans="1:10" x14ac:dyDescent="0.2">
      <c r="A31" s="27"/>
      <c r="B31" s="315"/>
      <c r="C31" s="315"/>
      <c r="D31" s="26"/>
      <c r="E31" s="315"/>
      <c r="F31" s="26"/>
      <c r="G31" s="315"/>
      <c r="H31" s="315"/>
      <c r="I31" s="315"/>
      <c r="J31" s="315"/>
    </row>
    <row r="32" spans="1:10" x14ac:dyDescent="0.2">
      <c r="A32" s="23"/>
      <c r="B32" s="170" t="s">
        <v>70</v>
      </c>
      <c r="C32" s="171">
        <f>ROUND((C30*E30),2)</f>
        <v>16.25</v>
      </c>
      <c r="D32" s="172" t="s">
        <v>6</v>
      </c>
      <c r="E32" s="25"/>
      <c r="F32" s="25"/>
      <c r="G32" s="25"/>
      <c r="H32" s="19"/>
      <c r="I32" s="19"/>
      <c r="J32" s="25"/>
    </row>
    <row r="33" spans="1:10" x14ac:dyDescent="0.2">
      <c r="A33" s="23"/>
      <c r="B33" s="28"/>
      <c r="C33" s="29"/>
      <c r="D33" s="28"/>
      <c r="E33" s="25"/>
      <c r="F33" s="25"/>
      <c r="G33" s="25"/>
      <c r="H33" s="25"/>
      <c r="I33" s="25"/>
      <c r="J33" s="25"/>
    </row>
    <row r="34" spans="1:10" x14ac:dyDescent="0.2">
      <c r="A34" s="1384" t="str">
        <f>ORÇ!A21</f>
        <v>2.4</v>
      </c>
      <c r="B34" s="1874" t="str">
        <f>ORÇ!D21</f>
        <v xml:space="preserve">Licenças e taxas da obra </v>
      </c>
      <c r="C34" s="1874"/>
      <c r="D34" s="1874"/>
      <c r="E34" s="1874"/>
      <c r="F34" s="1874"/>
      <c r="G34" s="1874"/>
      <c r="H34" s="1874"/>
      <c r="I34" s="1874"/>
    </row>
    <row r="35" spans="1:10" x14ac:dyDescent="0.2">
      <c r="A35" s="1384"/>
      <c r="B35" s="1508"/>
      <c r="C35" s="1508"/>
      <c r="D35" s="1508"/>
      <c r="E35" s="1508"/>
      <c r="F35" s="1508"/>
      <c r="G35" s="1508"/>
      <c r="H35" s="1508"/>
      <c r="I35" s="1508"/>
    </row>
    <row r="36" spans="1:10" x14ac:dyDescent="0.2">
      <c r="A36" s="1384"/>
      <c r="B36" s="1509" t="s">
        <v>1518</v>
      </c>
      <c r="C36" s="171">
        <v>1</v>
      </c>
      <c r="D36" s="172" t="s">
        <v>96</v>
      </c>
      <c r="E36" s="1508"/>
      <c r="F36" s="1508"/>
      <c r="G36" s="1508"/>
      <c r="H36" s="1508"/>
      <c r="I36" s="1508"/>
    </row>
    <row r="37" spans="1:10" x14ac:dyDescent="0.2">
      <c r="A37" s="1384"/>
      <c r="B37" s="1508"/>
      <c r="C37" s="1508"/>
      <c r="D37" s="1508"/>
      <c r="E37" s="1508"/>
      <c r="F37" s="1508"/>
      <c r="G37" s="1508"/>
      <c r="H37" s="1508"/>
      <c r="I37" s="1508"/>
    </row>
    <row r="74" spans="1:11" x14ac:dyDescent="0.2">
      <c r="A74" s="34"/>
      <c r="B74" s="19"/>
      <c r="C74" s="19"/>
      <c r="D74" s="19"/>
      <c r="E74" s="19"/>
      <c r="F74" s="19"/>
      <c r="G74" s="19"/>
      <c r="H74" s="19"/>
      <c r="I74" s="19"/>
      <c r="J74" s="19"/>
      <c r="K74" s="19"/>
    </row>
    <row r="75" spans="1:11" x14ac:dyDescent="0.2">
      <c r="A75" s="34"/>
      <c r="B75" s="19"/>
      <c r="C75" s="19"/>
      <c r="D75" s="19"/>
      <c r="E75" s="19"/>
      <c r="F75" s="19"/>
      <c r="G75" s="19"/>
      <c r="H75" s="19"/>
      <c r="I75" s="19"/>
      <c r="J75" s="19"/>
      <c r="K75" s="19"/>
    </row>
    <row r="76" spans="1:11" x14ac:dyDescent="0.2">
      <c r="A76" s="34"/>
      <c r="B76" s="19"/>
      <c r="C76" s="19"/>
      <c r="D76" s="19"/>
      <c r="E76" s="19"/>
      <c r="F76" s="19"/>
      <c r="G76" s="19"/>
      <c r="H76" s="19"/>
      <c r="I76" s="19"/>
      <c r="J76" s="19"/>
      <c r="K76" s="19"/>
    </row>
    <row r="77" spans="1:11" x14ac:dyDescent="0.2">
      <c r="A77" s="34"/>
      <c r="B77" s="19"/>
      <c r="C77" s="19"/>
      <c r="D77" s="19"/>
      <c r="E77" s="19"/>
      <c r="F77" s="19"/>
      <c r="G77" s="19"/>
      <c r="H77" s="19"/>
      <c r="I77" s="19"/>
      <c r="J77" s="19"/>
      <c r="K77" s="19"/>
    </row>
  </sheetData>
  <mergeCells count="21">
    <mergeCell ref="A6:A7"/>
    <mergeCell ref="B6:D7"/>
    <mergeCell ref="B34:I34"/>
    <mergeCell ref="E7:F7"/>
    <mergeCell ref="G7:J7"/>
    <mergeCell ref="I2:J2"/>
    <mergeCell ref="A1:J1"/>
    <mergeCell ref="H30:I30"/>
    <mergeCell ref="B27:I27"/>
    <mergeCell ref="B19:I20"/>
    <mergeCell ref="B2:F2"/>
    <mergeCell ref="G2:H2"/>
    <mergeCell ref="B3:J3"/>
    <mergeCell ref="B4:J4"/>
    <mergeCell ref="B5:D5"/>
    <mergeCell ref="E5:F6"/>
    <mergeCell ref="G5:J6"/>
    <mergeCell ref="A9:J9"/>
    <mergeCell ref="A10:J10"/>
    <mergeCell ref="A11:J11"/>
    <mergeCell ref="B22:E22"/>
  </mergeCells>
  <phoneticPr fontId="4" type="noConversion"/>
  <pageMargins left="0.511811024" right="0.511811024" top="0.78740157499999996" bottom="0.78740157499999996" header="0.31496062000000002" footer="0.31496062000000002"/>
  <pageSetup paperSize="9" scale="8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3"/>
  <sheetViews>
    <sheetView view="pageBreakPreview" topLeftCell="A4" zoomScaleNormal="100" zoomScaleSheetLayoutView="100" workbookViewId="0">
      <selection activeCell="A10" sqref="A9:K10"/>
    </sheetView>
  </sheetViews>
  <sheetFormatPr defaultRowHeight="12.75" x14ac:dyDescent="0.2"/>
  <cols>
    <col min="1" max="1" width="15.85546875" customWidth="1"/>
    <col min="2" max="2" width="15.140625" customWidth="1"/>
    <col min="3" max="3" width="13.5703125" customWidth="1"/>
    <col min="4" max="4" width="10.7109375" customWidth="1"/>
    <col min="6" max="6" width="12.7109375" customWidth="1"/>
    <col min="7" max="7" width="10.85546875" customWidth="1"/>
    <col min="11" max="11" width="11.85546875" customWidth="1"/>
  </cols>
  <sheetData>
    <row r="1" spans="1:21" ht="74.2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21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21" ht="15" customHeight="1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21" ht="15" customHeight="1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21" ht="15" customHeight="1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21" ht="12.75" customHeight="1" x14ac:dyDescent="0.2">
      <c r="A6" s="1870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21" ht="15" customHeight="1" x14ac:dyDescent="0.2">
      <c r="A7" s="1871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21" ht="13.5" thickBot="1" x14ac:dyDescent="0.25"/>
    <row r="9" spans="1:21" ht="13.5" thickBot="1" x14ac:dyDescent="0.25">
      <c r="A9" s="1865" t="s">
        <v>83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21" ht="12.75" customHeight="1" thickBot="1" x14ac:dyDescent="0.25">
      <c r="A10" s="1865" t="str">
        <f>ORÇ!B3</f>
        <v>CONSTRUÇÃO DO COMPLEXO ADMINISTRATIVO DO MUNICIPIO DE PLACAS</v>
      </c>
      <c r="B10" s="1866"/>
      <c r="C10" s="1866"/>
      <c r="D10" s="1866"/>
      <c r="E10" s="1866"/>
      <c r="F10" s="1866"/>
      <c r="G10" s="1866"/>
      <c r="H10" s="1866"/>
      <c r="I10" s="1866"/>
      <c r="J10" s="1866"/>
      <c r="K10" s="1867"/>
    </row>
    <row r="11" spans="1:21" ht="12.75" customHeight="1" thickBot="1" x14ac:dyDescent="0.25">
      <c r="A11" s="1865" t="str">
        <f>ORÇ!D24</f>
        <v>Movimento de Terra</v>
      </c>
      <c r="B11" s="1866"/>
      <c r="C11" s="1866"/>
      <c r="D11" s="1866"/>
      <c r="E11" s="1866"/>
      <c r="F11" s="1866"/>
      <c r="G11" s="1866"/>
      <c r="H11" s="1866"/>
      <c r="I11" s="1866"/>
      <c r="J11" s="1866"/>
      <c r="K11" s="1867"/>
    </row>
    <row r="12" spans="1:21" ht="12.75" customHeight="1" x14ac:dyDescent="0.2">
      <c r="A12" s="417"/>
      <c r="B12" s="417"/>
      <c r="C12" s="417"/>
      <c r="D12" s="417"/>
      <c r="E12" s="417"/>
      <c r="F12" s="417"/>
      <c r="G12" s="417"/>
      <c r="H12" s="417"/>
      <c r="I12" s="417"/>
      <c r="J12" s="417"/>
      <c r="K12" s="417"/>
    </row>
    <row r="13" spans="1:21" x14ac:dyDescent="0.2">
      <c r="A13" s="487">
        <f>ORÇ!A24</f>
        <v>3</v>
      </c>
      <c r="B13" s="42" t="str">
        <f>ORÇ!D24</f>
        <v>Movimento de Terra</v>
      </c>
      <c r="C13" s="24"/>
      <c r="D13" s="41"/>
      <c r="E13" s="41"/>
      <c r="F13" s="41"/>
      <c r="G13" s="41"/>
      <c r="H13" s="41"/>
      <c r="I13" s="41"/>
      <c r="J13" s="41"/>
      <c r="K13" s="31"/>
    </row>
    <row r="14" spans="1:21" ht="39.75" customHeight="1" x14ac:dyDescent="0.2">
      <c r="A14" s="493" t="str">
        <f>ORÇ!A25</f>
        <v>3.1</v>
      </c>
      <c r="B14" s="1874" t="str">
        <f>ORÇ!D25</f>
        <v>ESCAVAÇÃO MECANIZADA DE VALA COM PROF. MAIOR QUE 4,5 M ATÉ 6,0 M (MÉDIA MONTANTE E JUSANTE/UMA COMPOSIÇÃO POR TRECHO), ESCAVADEIRA (1,2 M3), LARG. DE 1,5 M A 2,5 M, EM SOLO DE 1A CATEGORIA, LOCAIS COM BAIXO NÍVEL DE INTERFERÊNCIA. AF_02/2021</v>
      </c>
      <c r="C14" s="1874"/>
      <c r="D14" s="1874"/>
      <c r="E14" s="1874"/>
      <c r="F14" s="1874"/>
      <c r="G14" s="1874"/>
      <c r="H14" s="1874"/>
      <c r="I14" s="1874"/>
      <c r="J14" s="1874"/>
      <c r="K14" s="1874"/>
    </row>
    <row r="15" spans="1:21" ht="39.75" customHeight="1" x14ac:dyDescent="0.2">
      <c r="A15" s="118"/>
      <c r="B15" s="348"/>
      <c r="F15" s="117"/>
      <c r="G15" s="117"/>
      <c r="H15" s="117"/>
      <c r="I15" s="115"/>
      <c r="J15" s="117"/>
      <c r="K15" s="115"/>
    </row>
    <row r="16" spans="1:21" x14ac:dyDescent="0.2">
      <c r="A16" s="1384" t="s">
        <v>1477</v>
      </c>
      <c r="B16" s="38"/>
      <c r="C16" s="420"/>
      <c r="D16" s="420"/>
      <c r="E16" s="420"/>
      <c r="F16" s="420"/>
      <c r="G16" s="420"/>
      <c r="H16" s="420"/>
      <c r="I16" s="489"/>
      <c r="J16" s="420"/>
      <c r="K16" s="489"/>
      <c r="O16" s="491"/>
      <c r="P16" s="489"/>
      <c r="Q16" s="491"/>
      <c r="R16" s="489"/>
      <c r="S16" s="399"/>
      <c r="T16" s="325"/>
      <c r="U16" s="79"/>
    </row>
    <row r="17" spans="1:21" x14ac:dyDescent="0.2">
      <c r="A17" s="1384"/>
      <c r="B17" s="38"/>
      <c r="C17" s="1385"/>
      <c r="D17" s="1385"/>
      <c r="E17" s="1385"/>
      <c r="F17" s="1385"/>
      <c r="G17" s="1385"/>
      <c r="H17" s="1385"/>
      <c r="I17" s="1380"/>
      <c r="J17" s="1385"/>
      <c r="K17" s="1380"/>
      <c r="O17" s="1329"/>
      <c r="P17" s="1380"/>
      <c r="Q17" s="1329"/>
      <c r="R17" s="1380"/>
      <c r="S17" s="399"/>
      <c r="T17" s="325"/>
      <c r="U17" s="79"/>
    </row>
    <row r="18" spans="1:21" x14ac:dyDescent="0.2">
      <c r="A18" s="1878" t="s">
        <v>1478</v>
      </c>
      <c r="B18" s="1879"/>
      <c r="C18" s="171">
        <v>164.22</v>
      </c>
      <c r="D18" s="172" t="s">
        <v>2</v>
      </c>
      <c r="E18" s="24"/>
      <c r="F18" s="24"/>
      <c r="G18" s="24"/>
      <c r="H18" s="24"/>
      <c r="I18" s="41"/>
      <c r="J18" s="24"/>
      <c r="K18" s="41"/>
      <c r="O18" s="202"/>
      <c r="P18" s="198"/>
      <c r="Q18" s="202"/>
      <c r="R18" s="198"/>
      <c r="S18" s="199"/>
      <c r="T18" s="200"/>
      <c r="U18" s="79"/>
    </row>
    <row r="19" spans="1:21" x14ac:dyDescent="0.2">
      <c r="A19" s="42"/>
      <c r="B19" s="42"/>
      <c r="C19" s="24"/>
      <c r="D19" s="24"/>
      <c r="E19" s="24"/>
      <c r="F19" s="24"/>
      <c r="G19" s="24"/>
      <c r="H19" s="24"/>
      <c r="I19" s="41"/>
      <c r="J19" s="24"/>
      <c r="K19" s="41"/>
      <c r="O19" s="202"/>
      <c r="P19" s="198"/>
      <c r="Q19" s="202"/>
      <c r="R19" s="198"/>
      <c r="S19" s="199"/>
      <c r="T19" s="200"/>
      <c r="U19" s="79"/>
    </row>
    <row r="20" spans="1:21" x14ac:dyDescent="0.2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O20" s="202"/>
      <c r="P20" s="198"/>
      <c r="Q20" s="202"/>
      <c r="R20" s="198"/>
      <c r="S20" s="199"/>
      <c r="T20" s="200"/>
      <c r="U20" s="79"/>
    </row>
    <row r="21" spans="1:21" ht="43.5" customHeight="1" x14ac:dyDescent="0.2">
      <c r="A21" s="1176" t="str">
        <f>ORÇ!A26</f>
        <v>3.2</v>
      </c>
      <c r="B21" s="1882" t="str">
        <f>ORÇ!D26</f>
        <v>REATERRO MECANIZADO DE VALA COM ESCAVADEIRA HIDRÁULICA (CAPACIDADE DA CAÇAMBA: 0,8 M³ / POTÊNCIA: 111 HP), LARGURA DE 1,5 A 2,5 M, PROFUNDIDADE DE 4,5 A 6,0 M, COM SOLO (SEM SUBSTITUIÇÃO) DE 1ª CATEGORIA EM LOCAIS COM BAIXO NÍVEL DE INTERFERÊNCIA. AF_04/2016</v>
      </c>
      <c r="C21" s="1882"/>
      <c r="D21" s="1882"/>
      <c r="E21" s="1882"/>
      <c r="F21" s="1882"/>
      <c r="G21" s="1882"/>
      <c r="H21" s="1882"/>
      <c r="I21" s="1882"/>
      <c r="J21" s="1882"/>
      <c r="K21" s="1882"/>
      <c r="O21" s="202"/>
      <c r="P21" s="198"/>
      <c r="Q21" s="202"/>
      <c r="R21" s="198"/>
      <c r="S21" s="199"/>
      <c r="T21" s="200"/>
      <c r="U21" s="79"/>
    </row>
    <row r="22" spans="1:21" x14ac:dyDescent="0.2">
      <c r="A22" s="1176"/>
      <c r="B22" s="1382"/>
      <c r="C22" s="1382"/>
      <c r="D22" s="1382"/>
      <c r="E22" s="1382"/>
      <c r="F22" s="1382"/>
      <c r="G22" s="1382"/>
      <c r="H22" s="1382"/>
      <c r="I22" s="1382"/>
      <c r="J22" s="1382"/>
      <c r="K22" s="1382"/>
      <c r="O22" s="1329"/>
      <c r="P22" s="1380"/>
      <c r="Q22" s="1329"/>
      <c r="R22" s="1380"/>
      <c r="S22" s="399"/>
      <c r="T22" s="325"/>
      <c r="U22" s="79"/>
    </row>
    <row r="23" spans="1:21" x14ac:dyDescent="0.2">
      <c r="A23" s="325"/>
      <c r="B23" s="39" t="s">
        <v>80</v>
      </c>
      <c r="C23" s="19"/>
      <c r="D23" s="399" t="s">
        <v>1481</v>
      </c>
      <c r="E23" s="399"/>
      <c r="F23" s="399" t="s">
        <v>1479</v>
      </c>
      <c r="G23" s="19"/>
      <c r="H23" s="39"/>
      <c r="I23" s="39"/>
      <c r="M23" s="202"/>
      <c r="N23" s="198"/>
      <c r="O23" s="202"/>
      <c r="P23" s="198"/>
      <c r="Q23" s="199"/>
      <c r="R23" s="200"/>
      <c r="S23" s="79"/>
    </row>
    <row r="24" spans="1:21" x14ac:dyDescent="0.2">
      <c r="A24" s="1485" t="s">
        <v>1480</v>
      </c>
      <c r="B24" s="1386" t="str">
        <f>A14</f>
        <v>3.1</v>
      </c>
      <c r="C24" s="33"/>
      <c r="D24" s="1385" t="str">
        <f>EST.4!A27</f>
        <v>4.2.1</v>
      </c>
      <c r="E24" s="1485"/>
      <c r="F24" s="1385" t="str">
        <f>EST.4!A44</f>
        <v>4.2.4</v>
      </c>
      <c r="G24" s="33"/>
      <c r="H24" s="33"/>
      <c r="I24" s="39"/>
      <c r="M24" s="1329"/>
      <c r="N24" s="1380"/>
      <c r="O24" s="1329"/>
      <c r="P24" s="1380"/>
      <c r="Q24" s="399"/>
      <c r="R24" s="325"/>
      <c r="S24" s="79"/>
    </row>
    <row r="25" spans="1:21" x14ac:dyDescent="0.2">
      <c r="A25" s="325"/>
      <c r="B25" s="41">
        <f>C18</f>
        <v>164.22</v>
      </c>
      <c r="C25" s="35" t="s">
        <v>79</v>
      </c>
      <c r="D25" s="1380">
        <f>EST.4!C31</f>
        <v>7.9</v>
      </c>
      <c r="E25" s="1329" t="s">
        <v>79</v>
      </c>
      <c r="F25" s="41">
        <f>EST.4!C50</f>
        <v>78.95</v>
      </c>
      <c r="G25" s="202" t="s">
        <v>72</v>
      </c>
      <c r="H25" s="41">
        <f>ROUND(B25-D25-F25,2)</f>
        <v>77.37</v>
      </c>
      <c r="I25" s="979"/>
      <c r="M25" s="202"/>
      <c r="N25" s="198"/>
      <c r="O25" s="202"/>
      <c r="P25" s="198"/>
      <c r="Q25" s="199"/>
      <c r="R25" s="200"/>
      <c r="S25" s="79"/>
    </row>
    <row r="26" spans="1:21" x14ac:dyDescent="0.2">
      <c r="A26" s="325"/>
      <c r="B26" s="19"/>
      <c r="C26" s="19"/>
      <c r="D26" s="19"/>
      <c r="E26" s="41"/>
      <c r="F26" s="41"/>
      <c r="G26" s="19"/>
      <c r="H26" s="19"/>
      <c r="I26" s="19"/>
      <c r="J26" s="19"/>
      <c r="K26" s="19"/>
      <c r="O26" s="202"/>
      <c r="P26" s="198"/>
      <c r="Q26" s="202"/>
      <c r="R26" s="198"/>
      <c r="S26" s="199"/>
      <c r="T26" s="200"/>
      <c r="U26" s="79"/>
    </row>
    <row r="27" spans="1:21" x14ac:dyDescent="0.2">
      <c r="A27" s="325"/>
      <c r="B27" s="321" t="s">
        <v>50</v>
      </c>
      <c r="C27" s="168">
        <f>H25</f>
        <v>77.37</v>
      </c>
      <c r="D27" s="169" t="s">
        <v>2</v>
      </c>
      <c r="E27" s="41"/>
      <c r="F27" s="41"/>
      <c r="G27" s="19"/>
      <c r="H27" s="19"/>
      <c r="I27" s="19"/>
      <c r="J27" s="19"/>
      <c r="K27" s="19"/>
      <c r="O27" s="202"/>
      <c r="P27" s="198"/>
      <c r="Q27" s="202"/>
      <c r="R27" s="198"/>
      <c r="S27" s="199"/>
      <c r="T27" s="200"/>
      <c r="U27" s="79"/>
    </row>
    <row r="28" spans="1:21" x14ac:dyDescent="0.2">
      <c r="A28" s="325"/>
      <c r="B28" s="19"/>
      <c r="C28" s="19"/>
      <c r="D28" s="19"/>
      <c r="E28" s="19"/>
      <c r="F28" s="19"/>
      <c r="G28" s="19"/>
      <c r="H28" s="19"/>
      <c r="I28" s="19"/>
      <c r="J28" s="19"/>
      <c r="K28" s="19"/>
      <c r="O28" s="202"/>
      <c r="P28" s="198"/>
      <c r="Q28" s="202"/>
      <c r="R28" s="198"/>
      <c r="S28" s="199"/>
      <c r="T28" s="200"/>
      <c r="U28" s="79"/>
    </row>
    <row r="29" spans="1:21" x14ac:dyDescent="0.2">
      <c r="A29" s="973"/>
      <c r="B29" s="19"/>
      <c r="C29" s="19"/>
      <c r="D29" s="19"/>
      <c r="E29" s="19"/>
      <c r="F29" s="19"/>
      <c r="G29" s="19"/>
      <c r="H29" s="19"/>
      <c r="I29" s="19"/>
      <c r="J29" s="19"/>
      <c r="K29" s="19"/>
      <c r="O29" s="202"/>
      <c r="P29" s="198"/>
      <c r="Q29" s="202"/>
      <c r="R29" s="198"/>
      <c r="S29" s="199"/>
      <c r="T29" s="200"/>
      <c r="U29" s="79"/>
    </row>
    <row r="30" spans="1:21" x14ac:dyDescent="0.2">
      <c r="A30" s="980" t="str">
        <f>ORÇ!A27</f>
        <v>3.3</v>
      </c>
      <c r="B30" s="42" t="str">
        <f>ORÇ!D27</f>
        <v>ATERRO MANUAL DE VALAS COM SOLO ARGILO-ARENOSO E COMPACTAÇÃO MECANIZADA. AF_05/2016</v>
      </c>
      <c r="C30" s="41"/>
      <c r="D30" s="41"/>
      <c r="E30" s="41"/>
      <c r="F30" s="19"/>
      <c r="G30" s="19"/>
      <c r="H30" s="19"/>
      <c r="I30" s="19"/>
      <c r="J30" s="19"/>
      <c r="K30" s="19"/>
      <c r="O30" s="202"/>
      <c r="P30" s="198"/>
      <c r="Q30" s="202"/>
      <c r="R30" s="198"/>
      <c r="S30" s="199"/>
      <c r="T30" s="200"/>
      <c r="U30" s="79"/>
    </row>
    <row r="31" spans="1:21" s="38" customFormat="1" x14ac:dyDescent="0.2">
      <c r="C31" s="739"/>
      <c r="D31" s="739"/>
      <c r="E31" s="739"/>
      <c r="F31" s="39"/>
      <c r="G31" s="39"/>
      <c r="H31" s="39"/>
      <c r="I31" s="39"/>
      <c r="J31" s="39"/>
      <c r="K31" s="39"/>
      <c r="O31" s="739"/>
      <c r="P31" s="739"/>
      <c r="Q31" s="739"/>
      <c r="R31" s="739"/>
      <c r="S31" s="399"/>
      <c r="T31" s="399"/>
      <c r="U31" s="79"/>
    </row>
    <row r="32" spans="1:21" s="38" customFormat="1" x14ac:dyDescent="0.2">
      <c r="A32" s="385"/>
      <c r="B32" s="1168" t="s">
        <v>224</v>
      </c>
      <c r="C32" s="1168" t="s">
        <v>335</v>
      </c>
      <c r="D32" s="1168"/>
      <c r="E32" s="1168" t="s">
        <v>583</v>
      </c>
      <c r="F32" s="399"/>
      <c r="G32" s="1163"/>
      <c r="H32" s="39"/>
      <c r="I32" s="39"/>
      <c r="J32" s="39"/>
      <c r="K32" s="39"/>
      <c r="O32" s="1168"/>
      <c r="P32" s="1168"/>
      <c r="Q32" s="1168"/>
      <c r="R32" s="1168"/>
      <c r="S32" s="399"/>
      <c r="T32" s="399"/>
      <c r="U32" s="79"/>
    </row>
    <row r="33" spans="1:21" s="620" customFormat="1" ht="25.5" x14ac:dyDescent="0.2">
      <c r="A33" s="762"/>
      <c r="B33" s="768" t="s">
        <v>574</v>
      </c>
      <c r="C33" s="762">
        <v>121.26</v>
      </c>
      <c r="D33" s="762" t="s">
        <v>71</v>
      </c>
      <c r="E33" s="762">
        <v>0.13</v>
      </c>
      <c r="F33" s="764" t="s">
        <v>72</v>
      </c>
      <c r="G33" s="761">
        <f t="shared" ref="G33:G35" si="0">ROUND(C33*E33,2)</f>
        <v>15.76</v>
      </c>
      <c r="H33" s="764"/>
      <c r="I33" s="764"/>
      <c r="J33" s="764"/>
      <c r="K33" s="764"/>
      <c r="O33" s="762"/>
      <c r="P33" s="762"/>
      <c r="Q33" s="762"/>
      <c r="R33" s="762"/>
      <c r="S33" s="764"/>
      <c r="T33" s="764"/>
      <c r="U33" s="764"/>
    </row>
    <row r="34" spans="1:21" s="620" customFormat="1" x14ac:dyDescent="0.2">
      <c r="A34" s="762"/>
      <c r="B34" s="768" t="s">
        <v>603</v>
      </c>
      <c r="C34" s="762">
        <v>17.52</v>
      </c>
      <c r="D34" s="762" t="s">
        <v>71</v>
      </c>
      <c r="E34" s="762">
        <v>0.92</v>
      </c>
      <c r="F34" s="764" t="s">
        <v>72</v>
      </c>
      <c r="G34" s="761">
        <f t="shared" si="0"/>
        <v>16.12</v>
      </c>
      <c r="H34" s="764"/>
      <c r="I34" s="764"/>
      <c r="J34" s="764"/>
      <c r="K34" s="764"/>
      <c r="O34" s="762"/>
      <c r="P34" s="762"/>
      <c r="Q34" s="762"/>
      <c r="R34" s="762"/>
      <c r="S34" s="764"/>
      <c r="T34" s="764"/>
      <c r="U34" s="764"/>
    </row>
    <row r="35" spans="1:21" s="620" customFormat="1" x14ac:dyDescent="0.2">
      <c r="A35" s="762"/>
      <c r="B35" s="768" t="s">
        <v>604</v>
      </c>
      <c r="C35" s="762">
        <v>18</v>
      </c>
      <c r="D35" s="762" t="s">
        <v>71</v>
      </c>
      <c r="E35" s="762">
        <v>0.92</v>
      </c>
      <c r="F35" s="764" t="s">
        <v>72</v>
      </c>
      <c r="G35" s="761">
        <f t="shared" si="0"/>
        <v>16.559999999999999</v>
      </c>
      <c r="H35" s="764"/>
      <c r="I35" s="764"/>
      <c r="J35" s="764"/>
      <c r="K35" s="764"/>
      <c r="O35" s="762"/>
      <c r="P35" s="762"/>
      <c r="Q35" s="762"/>
      <c r="R35" s="762"/>
      <c r="S35" s="764"/>
      <c r="T35" s="764"/>
      <c r="U35" s="764"/>
    </row>
    <row r="36" spans="1:21" s="1164" customFormat="1" x14ac:dyDescent="0.2">
      <c r="A36" s="967"/>
      <c r="B36" s="1167"/>
      <c r="C36" s="967"/>
      <c r="D36" s="967"/>
      <c r="E36" s="967"/>
      <c r="F36" s="920"/>
      <c r="G36" s="966"/>
      <c r="H36" s="920"/>
      <c r="I36" s="920"/>
      <c r="J36" s="920"/>
      <c r="K36" s="920"/>
      <c r="O36" s="967"/>
      <c r="P36" s="967"/>
      <c r="Q36" s="967"/>
      <c r="R36" s="967"/>
      <c r="S36" s="920"/>
      <c r="T36" s="920"/>
      <c r="U36" s="920"/>
    </row>
    <row r="37" spans="1:21" s="1164" customFormat="1" x14ac:dyDescent="0.2">
      <c r="A37" s="967"/>
      <c r="B37" s="1175" t="s">
        <v>1178</v>
      </c>
      <c r="C37" s="967"/>
      <c r="D37" s="967"/>
      <c r="E37" s="967"/>
      <c r="F37" s="920"/>
      <c r="G37" s="966"/>
      <c r="H37" s="920"/>
      <c r="I37" s="920"/>
      <c r="J37" s="920"/>
      <c r="K37" s="920"/>
      <c r="O37" s="967"/>
      <c r="P37" s="967"/>
      <c r="Q37" s="967"/>
      <c r="R37" s="967"/>
      <c r="S37" s="920"/>
      <c r="T37" s="920"/>
      <c r="U37" s="920"/>
    </row>
    <row r="38" spans="1:21" s="1164" customFormat="1" x14ac:dyDescent="0.2">
      <c r="A38" s="967"/>
      <c r="B38" s="1175"/>
      <c r="C38" s="967" t="s">
        <v>1179</v>
      </c>
      <c r="D38" s="967"/>
      <c r="E38" s="967" t="s">
        <v>1042</v>
      </c>
      <c r="F38" s="920"/>
      <c r="G38" s="967" t="s">
        <v>81</v>
      </c>
      <c r="H38" s="920"/>
      <c r="I38" s="1164" t="s">
        <v>1180</v>
      </c>
      <c r="J38" s="920"/>
      <c r="K38" s="920"/>
      <c r="O38" s="967"/>
      <c r="P38" s="967"/>
      <c r="Q38" s="967"/>
      <c r="R38" s="967"/>
      <c r="S38" s="920"/>
      <c r="T38" s="920"/>
      <c r="U38" s="920"/>
    </row>
    <row r="39" spans="1:21" s="620" customFormat="1" x14ac:dyDescent="0.2">
      <c r="A39" s="762"/>
      <c r="B39" s="768" t="s">
        <v>598</v>
      </c>
      <c r="C39" s="978">
        <v>11.52</v>
      </c>
      <c r="D39" s="978" t="s">
        <v>71</v>
      </c>
      <c r="E39" s="978">
        <v>0.96</v>
      </c>
      <c r="F39" s="764" t="s">
        <v>71</v>
      </c>
      <c r="G39" s="761">
        <v>2.5</v>
      </c>
      <c r="H39" s="764" t="s">
        <v>72</v>
      </c>
      <c r="I39" s="920">
        <f>ROUND(((C39*E39)/C40)*G39,2)</f>
        <v>13.82</v>
      </c>
      <c r="J39" s="764"/>
      <c r="K39" s="764"/>
      <c r="O39" s="762"/>
      <c r="P39" s="762"/>
      <c r="Q39" s="762"/>
      <c r="R39" s="762"/>
      <c r="S39" s="764"/>
      <c r="T39" s="764"/>
      <c r="U39" s="764"/>
    </row>
    <row r="40" spans="1:21" s="1164" customFormat="1" x14ac:dyDescent="0.2">
      <c r="A40" s="967"/>
      <c r="B40" s="1167"/>
      <c r="C40" s="1883">
        <v>2</v>
      </c>
      <c r="D40" s="1883"/>
      <c r="E40" s="1883"/>
      <c r="F40" s="920"/>
      <c r="G40" s="966"/>
      <c r="H40" s="920"/>
      <c r="I40" s="920"/>
      <c r="J40" s="920"/>
      <c r="K40" s="920"/>
      <c r="O40" s="967"/>
      <c r="P40" s="967"/>
      <c r="Q40" s="967"/>
      <c r="R40" s="967"/>
      <c r="S40" s="920"/>
      <c r="T40" s="920"/>
      <c r="U40" s="920"/>
    </row>
    <row r="41" spans="1:21" s="1164" customFormat="1" x14ac:dyDescent="0.2">
      <c r="A41" s="967"/>
      <c r="B41" s="1167"/>
      <c r="C41" s="967"/>
      <c r="D41" s="967"/>
      <c r="E41" s="967"/>
      <c r="F41" s="920"/>
      <c r="G41" s="966"/>
      <c r="H41" s="920"/>
      <c r="I41" s="1164" t="s">
        <v>1180</v>
      </c>
      <c r="J41" s="920"/>
      <c r="K41" s="920"/>
      <c r="O41" s="967"/>
      <c r="P41" s="967"/>
      <c r="Q41" s="967"/>
      <c r="R41" s="967"/>
      <c r="S41" s="920"/>
      <c r="T41" s="920"/>
      <c r="U41" s="920"/>
    </row>
    <row r="42" spans="1:21" s="620" customFormat="1" x14ac:dyDescent="0.2">
      <c r="A42" s="762"/>
      <c r="B42" s="768" t="s">
        <v>599</v>
      </c>
      <c r="C42" s="762">
        <v>2.7</v>
      </c>
      <c r="D42" s="762" t="s">
        <v>71</v>
      </c>
      <c r="E42" s="762">
        <v>0.18</v>
      </c>
      <c r="F42" s="764" t="s">
        <v>71</v>
      </c>
      <c r="G42" s="761">
        <v>4</v>
      </c>
      <c r="H42" s="920" t="s">
        <v>72</v>
      </c>
      <c r="I42" s="920">
        <f>ROUND(((C42*E42)/C43)*G42,2)</f>
        <v>0.97</v>
      </c>
      <c r="J42" s="764"/>
      <c r="K42" s="764"/>
      <c r="O42" s="762"/>
      <c r="P42" s="762"/>
      <c r="Q42" s="762"/>
      <c r="R42" s="762"/>
      <c r="S42" s="764"/>
      <c r="T42" s="764"/>
      <c r="U42" s="764"/>
    </row>
    <row r="43" spans="1:21" s="1164" customFormat="1" x14ac:dyDescent="0.2">
      <c r="A43" s="967"/>
      <c r="B43" s="1167"/>
      <c r="C43" s="1883">
        <v>2</v>
      </c>
      <c r="D43" s="1883"/>
      <c r="E43" s="1883"/>
      <c r="F43" s="920"/>
      <c r="G43" s="966"/>
      <c r="J43" s="920"/>
      <c r="K43" s="920"/>
      <c r="O43" s="967"/>
      <c r="P43" s="967"/>
      <c r="Q43" s="967"/>
      <c r="R43" s="967"/>
      <c r="S43" s="920"/>
      <c r="T43" s="920"/>
      <c r="U43" s="920"/>
    </row>
    <row r="44" spans="1:21" s="1164" customFormat="1" x14ac:dyDescent="0.2">
      <c r="A44" s="967"/>
      <c r="B44" s="1167"/>
      <c r="C44" s="967"/>
      <c r="D44" s="967"/>
      <c r="E44" s="967"/>
      <c r="F44" s="920"/>
      <c r="G44" s="966"/>
      <c r="H44" s="920"/>
      <c r="I44" s="1164" t="s">
        <v>1180</v>
      </c>
      <c r="J44" s="920"/>
      <c r="K44" s="920"/>
      <c r="O44" s="967"/>
      <c r="P44" s="967"/>
      <c r="Q44" s="967"/>
      <c r="R44" s="967"/>
      <c r="S44" s="920"/>
      <c r="T44" s="920"/>
      <c r="U44" s="920"/>
    </row>
    <row r="45" spans="1:21" s="620" customFormat="1" x14ac:dyDescent="0.2">
      <c r="A45" s="762"/>
      <c r="B45" s="768" t="s">
        <v>600</v>
      </c>
      <c r="C45" s="762">
        <v>7</v>
      </c>
      <c r="D45" s="762" t="s">
        <v>71</v>
      </c>
      <c r="E45" s="762">
        <v>0.2</v>
      </c>
      <c r="F45" s="764" t="s">
        <v>71</v>
      </c>
      <c r="G45" s="761">
        <v>3</v>
      </c>
      <c r="H45" s="920" t="s">
        <v>72</v>
      </c>
      <c r="I45" s="920">
        <f>ROUND(((C45*E45)/C46)*G45,2)</f>
        <v>2.1</v>
      </c>
      <c r="J45" s="764"/>
      <c r="K45" s="764"/>
      <c r="O45" s="762"/>
      <c r="P45" s="762"/>
      <c r="Q45" s="762"/>
      <c r="R45" s="762"/>
      <c r="S45" s="764"/>
      <c r="T45" s="764"/>
      <c r="U45" s="764"/>
    </row>
    <row r="46" spans="1:21" s="1164" customFormat="1" x14ac:dyDescent="0.2">
      <c r="A46" s="967"/>
      <c r="B46" s="1167"/>
      <c r="C46" s="1883">
        <v>2</v>
      </c>
      <c r="D46" s="1883"/>
      <c r="E46" s="1883"/>
      <c r="F46" s="920"/>
      <c r="G46" s="966"/>
      <c r="J46" s="920"/>
      <c r="K46" s="920"/>
      <c r="O46" s="967"/>
      <c r="P46" s="967"/>
      <c r="Q46" s="967"/>
      <c r="R46" s="967"/>
      <c r="S46" s="920"/>
      <c r="T46" s="920"/>
      <c r="U46" s="920"/>
    </row>
    <row r="47" spans="1:21" s="1164" customFormat="1" x14ac:dyDescent="0.2">
      <c r="A47" s="967"/>
      <c r="B47" s="1167"/>
      <c r="C47" s="503"/>
      <c r="D47" s="503"/>
      <c r="E47" s="503"/>
      <c r="F47" s="920"/>
      <c r="G47" s="966"/>
      <c r="H47" s="920"/>
      <c r="I47" s="1164" t="s">
        <v>1180</v>
      </c>
      <c r="J47" s="920"/>
      <c r="K47" s="920"/>
      <c r="O47" s="967"/>
      <c r="P47" s="967"/>
      <c r="Q47" s="967"/>
      <c r="R47" s="967"/>
      <c r="S47" s="920"/>
      <c r="T47" s="920"/>
      <c r="U47" s="920"/>
    </row>
    <row r="48" spans="1:21" s="620" customFormat="1" x14ac:dyDescent="0.2">
      <c r="A48" s="762"/>
      <c r="B48" s="768" t="s">
        <v>601</v>
      </c>
      <c r="C48" s="762">
        <v>4.8</v>
      </c>
      <c r="D48" s="762" t="s">
        <v>71</v>
      </c>
      <c r="E48" s="762">
        <v>0.4</v>
      </c>
      <c r="F48" s="764" t="s">
        <v>71</v>
      </c>
      <c r="G48" s="761">
        <v>2</v>
      </c>
      <c r="H48" s="920" t="s">
        <v>72</v>
      </c>
      <c r="I48" s="920">
        <f>ROUND(((C48*E48)/C49)*G48,2)</f>
        <v>1.92</v>
      </c>
      <c r="J48" s="764"/>
      <c r="K48" s="764"/>
      <c r="O48" s="762"/>
      <c r="P48" s="762"/>
      <c r="Q48" s="762"/>
      <c r="R48" s="762"/>
      <c r="S48" s="764"/>
      <c r="T48" s="764"/>
      <c r="U48" s="764"/>
    </row>
    <row r="49" spans="1:21" s="1164" customFormat="1" x14ac:dyDescent="0.2">
      <c r="A49" s="967"/>
      <c r="B49" s="1167"/>
      <c r="C49" s="1883">
        <v>2</v>
      </c>
      <c r="D49" s="1883"/>
      <c r="E49" s="1883"/>
      <c r="F49" s="920"/>
      <c r="G49" s="966"/>
      <c r="I49" s="920"/>
      <c r="J49" s="920"/>
      <c r="K49" s="920"/>
      <c r="O49" s="967"/>
      <c r="P49" s="967"/>
      <c r="Q49" s="967"/>
      <c r="R49" s="967"/>
      <c r="S49" s="920"/>
      <c r="T49" s="920"/>
      <c r="U49" s="920"/>
    </row>
    <row r="50" spans="1:21" s="1164" customFormat="1" x14ac:dyDescent="0.2">
      <c r="A50" s="967"/>
      <c r="B50" s="1167"/>
      <c r="C50" s="967"/>
      <c r="D50" s="967"/>
      <c r="E50" s="967"/>
      <c r="F50" s="920"/>
      <c r="G50" s="966"/>
      <c r="H50" s="920"/>
      <c r="I50" s="1164" t="s">
        <v>1180</v>
      </c>
      <c r="J50" s="920"/>
      <c r="K50" s="920"/>
      <c r="O50" s="967"/>
      <c r="P50" s="967"/>
      <c r="Q50" s="967"/>
      <c r="R50" s="967"/>
      <c r="S50" s="920"/>
      <c r="T50" s="920"/>
      <c r="U50" s="920"/>
    </row>
    <row r="51" spans="1:21" s="620" customFormat="1" x14ac:dyDescent="0.2">
      <c r="A51" s="762"/>
      <c r="B51" s="768" t="s">
        <v>602</v>
      </c>
      <c r="C51" s="762">
        <v>9.5500000000000007</v>
      </c>
      <c r="D51" s="762" t="s">
        <v>71</v>
      </c>
      <c r="E51" s="762">
        <v>0.13</v>
      </c>
      <c r="F51" s="764" t="s">
        <v>71</v>
      </c>
      <c r="G51" s="761">
        <v>4.6900000000000004</v>
      </c>
      <c r="H51" s="920" t="s">
        <v>72</v>
      </c>
      <c r="I51" s="920">
        <f>ROUND(((C51*E51)/C52)*G51,2)</f>
        <v>2.91</v>
      </c>
      <c r="J51" s="764"/>
      <c r="K51" s="764"/>
      <c r="O51" s="762"/>
      <c r="P51" s="762"/>
      <c r="Q51" s="762"/>
      <c r="R51" s="762"/>
      <c r="S51" s="764"/>
      <c r="T51" s="764"/>
      <c r="U51" s="764"/>
    </row>
    <row r="52" spans="1:21" s="1164" customFormat="1" x14ac:dyDescent="0.2">
      <c r="A52" s="967"/>
      <c r="B52" s="1167"/>
      <c r="C52" s="1883">
        <v>2</v>
      </c>
      <c r="D52" s="1883"/>
      <c r="E52" s="1883"/>
      <c r="F52" s="920"/>
      <c r="G52" s="966"/>
      <c r="I52" s="920"/>
      <c r="J52" s="920"/>
      <c r="K52" s="920"/>
      <c r="O52" s="967"/>
      <c r="P52" s="967"/>
      <c r="Q52" s="967"/>
      <c r="R52" s="967"/>
      <c r="S52" s="920"/>
      <c r="T52" s="920"/>
      <c r="U52" s="920"/>
    </row>
    <row r="53" spans="1:21" s="1164" customFormat="1" x14ac:dyDescent="0.2">
      <c r="A53" s="967"/>
      <c r="B53" s="1167"/>
      <c r="C53" s="967"/>
      <c r="D53" s="967"/>
      <c r="E53" s="967"/>
      <c r="F53" s="920"/>
      <c r="G53" s="966"/>
      <c r="H53" s="920"/>
      <c r="I53" s="920"/>
      <c r="J53" s="920"/>
      <c r="K53" s="920"/>
      <c r="O53" s="967"/>
      <c r="P53" s="967"/>
      <c r="Q53" s="967"/>
      <c r="R53" s="967"/>
      <c r="S53" s="920"/>
      <c r="T53" s="920"/>
      <c r="U53" s="920"/>
    </row>
    <row r="54" spans="1:21" s="38" customFormat="1" x14ac:dyDescent="0.2">
      <c r="A54" s="385"/>
      <c r="B54" s="385"/>
      <c r="C54" s="763"/>
      <c r="D54" s="763"/>
      <c r="E54" s="763"/>
      <c r="F54" s="39"/>
      <c r="G54" s="39"/>
      <c r="H54" s="39"/>
      <c r="I54" s="39"/>
      <c r="J54" s="39"/>
      <c r="K54" s="39"/>
      <c r="O54" s="763"/>
      <c r="P54" s="763"/>
      <c r="Q54" s="763"/>
      <c r="R54" s="763"/>
      <c r="S54" s="399"/>
      <c r="T54" s="399"/>
      <c r="U54" s="79"/>
    </row>
    <row r="55" spans="1:21" x14ac:dyDescent="0.2">
      <c r="A55" s="490"/>
      <c r="B55" s="321" t="s">
        <v>584</v>
      </c>
      <c r="C55" s="168">
        <f>SUM(G33:G35)+SUM(I38:I51)</f>
        <v>70.16</v>
      </c>
      <c r="D55" s="169" t="s">
        <v>2</v>
      </c>
      <c r="E55" s="115"/>
      <c r="F55" s="19"/>
      <c r="G55" s="19"/>
      <c r="H55" s="19"/>
      <c r="I55" s="19"/>
      <c r="J55" s="19"/>
      <c r="K55" s="19"/>
    </row>
    <row r="56" spans="1:21" x14ac:dyDescent="0.2">
      <c r="A56" s="118"/>
      <c r="B56" s="118"/>
      <c r="C56" s="115"/>
      <c r="D56" s="115"/>
      <c r="E56" s="115"/>
      <c r="F56" s="19"/>
      <c r="G56" s="19"/>
      <c r="H56" s="19"/>
      <c r="I56" s="19"/>
      <c r="J56" s="19"/>
      <c r="K56" s="19"/>
    </row>
    <row r="57" spans="1:21" ht="30.75" customHeight="1" x14ac:dyDescent="0.2">
      <c r="A57" s="477" t="str">
        <f>ORÇ!A28</f>
        <v>3.4</v>
      </c>
      <c r="B57" s="1874" t="str">
        <f>ORÇ!D28</f>
        <v>ATERRO MECANIZADO DE VALA COM RETROESCAVADEIRA (CAPACIDADE DA CAÇAMBA DA RETRO: 0,26 M³ / POTÊNCIA: 88 HP), LARGURA DE 0,8 A 1,5 M, PROFUNDIDADE DE 1,5 A 3,0 M, COM SOLO ARGILO-ARENOSO. AF_05/2016</v>
      </c>
      <c r="C57" s="1874"/>
      <c r="D57" s="1874"/>
      <c r="E57" s="1874"/>
      <c r="F57" s="1874"/>
      <c r="G57" s="1874"/>
      <c r="H57" s="1874"/>
      <c r="I57" s="1874"/>
      <c r="J57" s="1874"/>
      <c r="K57" s="1874"/>
    </row>
    <row r="58" spans="1:21" x14ac:dyDescent="0.2">
      <c r="A58" s="118"/>
      <c r="B58" s="201"/>
      <c r="C58" s="198"/>
      <c r="D58" s="198"/>
      <c r="E58" s="198"/>
      <c r="F58" s="19"/>
      <c r="G58" s="19"/>
      <c r="H58" s="19"/>
      <c r="I58" s="19"/>
      <c r="J58" s="19"/>
      <c r="K58" s="19"/>
    </row>
    <row r="59" spans="1:21" x14ac:dyDescent="0.2">
      <c r="A59" s="1384" t="s">
        <v>1477</v>
      </c>
      <c r="B59" s="1384"/>
      <c r="C59" s="1380"/>
      <c r="D59" s="1380"/>
      <c r="E59" s="1380"/>
      <c r="F59" s="19"/>
      <c r="G59" s="19"/>
      <c r="H59" s="19"/>
      <c r="I59" s="19"/>
      <c r="J59" s="19"/>
      <c r="K59" s="19"/>
    </row>
    <row r="60" spans="1:21" x14ac:dyDescent="0.2">
      <c r="A60" s="201"/>
      <c r="B60" s="201"/>
      <c r="C60" s="198"/>
      <c r="D60" s="198"/>
      <c r="E60" s="198"/>
      <c r="F60" s="19"/>
      <c r="G60" s="19"/>
      <c r="H60" s="19"/>
      <c r="I60" s="19"/>
      <c r="J60" s="19"/>
      <c r="K60" s="19"/>
    </row>
    <row r="61" spans="1:21" x14ac:dyDescent="0.2">
      <c r="A61" s="201"/>
      <c r="B61" s="321" t="s">
        <v>1183</v>
      </c>
      <c r="C61" s="168">
        <v>615.80999999999995</v>
      </c>
      <c r="D61" s="169" t="s">
        <v>2</v>
      </c>
      <c r="E61" s="198"/>
      <c r="F61" s="19"/>
      <c r="G61" s="19"/>
      <c r="H61" s="19"/>
      <c r="I61" s="19"/>
      <c r="J61" s="19"/>
      <c r="K61" s="19"/>
    </row>
    <row r="62" spans="1:21" x14ac:dyDescent="0.2">
      <c r="A62" s="201"/>
      <c r="B62" s="201"/>
      <c r="C62" s="198"/>
      <c r="D62" s="198"/>
      <c r="E62" s="198"/>
      <c r="F62" s="19"/>
      <c r="G62" s="19"/>
      <c r="H62" s="19"/>
      <c r="I62" s="19"/>
      <c r="J62" s="19"/>
      <c r="K62" s="19"/>
    </row>
    <row r="63" spans="1:21" x14ac:dyDescent="0.2">
      <c r="A63" s="201"/>
      <c r="B63" s="201"/>
      <c r="C63" s="198"/>
      <c r="D63" s="198"/>
      <c r="E63" s="198"/>
      <c r="F63" s="19"/>
      <c r="G63" s="19"/>
      <c r="H63" s="19"/>
      <c r="I63" s="19"/>
      <c r="J63" s="19"/>
      <c r="K63" s="19"/>
    </row>
    <row r="64" spans="1:21" x14ac:dyDescent="0.2">
      <c r="A64" s="201"/>
      <c r="B64" s="201"/>
      <c r="C64" s="198"/>
      <c r="D64" s="198"/>
      <c r="E64" s="198"/>
      <c r="F64" s="19"/>
      <c r="G64" s="19"/>
      <c r="H64" s="19"/>
      <c r="I64" s="19"/>
      <c r="J64" s="19"/>
      <c r="K64" s="19"/>
    </row>
    <row r="65" spans="1:11" x14ac:dyDescent="0.2">
      <c r="A65" s="201"/>
      <c r="B65" s="201"/>
      <c r="C65" s="198"/>
      <c r="D65" s="198"/>
      <c r="E65" s="198"/>
      <c r="F65" s="19"/>
      <c r="G65" s="19"/>
      <c r="H65" s="19"/>
      <c r="I65" s="19"/>
      <c r="J65" s="19"/>
      <c r="K65" s="19"/>
    </row>
    <row r="66" spans="1:11" x14ac:dyDescent="0.2">
      <c r="A66" s="201"/>
      <c r="B66" s="201"/>
      <c r="C66" s="198"/>
      <c r="D66" s="198"/>
      <c r="E66" s="198"/>
      <c r="F66" s="19"/>
      <c r="G66" s="19"/>
      <c r="H66" s="19"/>
      <c r="I66" s="19"/>
      <c r="J66" s="19"/>
      <c r="K66" s="19"/>
    </row>
    <row r="67" spans="1:11" x14ac:dyDescent="0.2">
      <c r="A67" s="201"/>
      <c r="B67" s="201"/>
      <c r="C67" s="198"/>
      <c r="D67" s="198"/>
      <c r="E67" s="198"/>
      <c r="F67" s="19"/>
      <c r="G67" s="19"/>
      <c r="H67" s="19"/>
      <c r="I67" s="19"/>
      <c r="J67" s="19"/>
      <c r="K67" s="19"/>
    </row>
    <row r="68" spans="1:11" x14ac:dyDescent="0.2">
      <c r="A68" s="201"/>
      <c r="B68" s="201"/>
      <c r="C68" s="198"/>
      <c r="D68" s="198"/>
      <c r="E68" s="198"/>
      <c r="F68" s="19"/>
      <c r="G68" s="19"/>
      <c r="H68" s="19"/>
      <c r="I68" s="19"/>
      <c r="J68" s="19"/>
      <c r="K68" s="19"/>
    </row>
    <row r="69" spans="1:11" x14ac:dyDescent="0.2">
      <c r="A69" s="201"/>
      <c r="B69" s="201"/>
      <c r="C69" s="198"/>
      <c r="D69" s="198"/>
      <c r="E69" s="198"/>
      <c r="F69" s="19"/>
      <c r="G69" s="19"/>
      <c r="H69" s="19"/>
      <c r="I69" s="19"/>
      <c r="J69" s="19"/>
      <c r="K69" s="19"/>
    </row>
    <row r="70" spans="1:11" x14ac:dyDescent="0.2">
      <c r="A70" s="201"/>
      <c r="B70" s="201"/>
      <c r="C70" s="198"/>
      <c r="D70" s="198"/>
      <c r="E70" s="198"/>
      <c r="F70" s="19"/>
      <c r="G70" s="19"/>
      <c r="H70" s="19"/>
      <c r="I70" s="19"/>
      <c r="J70" s="19"/>
      <c r="K70" s="19"/>
    </row>
    <row r="71" spans="1:11" x14ac:dyDescent="0.2">
      <c r="A71" s="201"/>
      <c r="B71" s="201"/>
      <c r="C71" s="198"/>
      <c r="D71" s="198"/>
      <c r="E71" s="198"/>
      <c r="F71" s="19"/>
      <c r="G71" s="19"/>
      <c r="H71" s="19"/>
      <c r="I71" s="19"/>
      <c r="J71" s="19"/>
      <c r="K71" s="19"/>
    </row>
    <row r="72" spans="1:11" x14ac:dyDescent="0.2">
      <c r="A72" s="201"/>
      <c r="B72" s="201"/>
      <c r="C72" s="198"/>
      <c r="D72" s="198"/>
      <c r="E72" s="198"/>
      <c r="F72" s="19"/>
      <c r="G72" s="19"/>
      <c r="H72" s="19"/>
      <c r="I72" s="19"/>
      <c r="J72" s="19"/>
      <c r="K72" s="19"/>
    </row>
    <row r="73" spans="1:11" x14ac:dyDescent="0.2">
      <c r="A73" s="201"/>
      <c r="B73" s="201"/>
      <c r="C73" s="198"/>
      <c r="D73" s="198"/>
      <c r="E73" s="198"/>
      <c r="F73" s="19"/>
      <c r="G73" s="19"/>
      <c r="H73" s="19"/>
      <c r="I73" s="19"/>
      <c r="J73" s="19"/>
      <c r="K73" s="19"/>
    </row>
    <row r="74" spans="1:11" x14ac:dyDescent="0.2">
      <c r="A74" s="201"/>
      <c r="B74" s="201"/>
      <c r="C74" s="198"/>
      <c r="D74" s="198"/>
      <c r="E74" s="198"/>
      <c r="F74" s="19"/>
      <c r="G74" s="19"/>
      <c r="H74" s="19"/>
      <c r="I74" s="19"/>
      <c r="J74" s="19"/>
      <c r="K74" s="19"/>
    </row>
    <row r="75" spans="1:11" x14ac:dyDescent="0.2">
      <c r="A75" s="201"/>
      <c r="B75" s="201"/>
      <c r="C75" s="198"/>
      <c r="D75" s="198"/>
      <c r="E75" s="198"/>
      <c r="F75" s="19"/>
      <c r="G75" s="19"/>
      <c r="H75" s="19"/>
      <c r="I75" s="19"/>
      <c r="J75" s="19"/>
      <c r="K75" s="19"/>
    </row>
    <row r="76" spans="1:11" x14ac:dyDescent="0.2">
      <c r="A76" s="201"/>
      <c r="B76" s="201"/>
      <c r="C76" s="198"/>
      <c r="D76" s="198"/>
      <c r="E76" s="198"/>
      <c r="F76" s="19"/>
      <c r="G76" s="19"/>
      <c r="H76" s="19"/>
      <c r="I76" s="19"/>
      <c r="J76" s="19"/>
      <c r="K76" s="19"/>
    </row>
    <row r="77" spans="1:11" x14ac:dyDescent="0.2">
      <c r="A77" s="201"/>
      <c r="B77" s="201"/>
      <c r="C77" s="198"/>
      <c r="D77" s="198"/>
      <c r="E77" s="198"/>
      <c r="F77" s="19"/>
      <c r="G77" s="19"/>
      <c r="H77" s="19"/>
      <c r="I77" s="19"/>
      <c r="J77" s="19"/>
      <c r="K77" s="19"/>
    </row>
    <row r="78" spans="1:11" x14ac:dyDescent="0.2">
      <c r="A78" s="201"/>
      <c r="B78" s="201"/>
      <c r="C78" s="198"/>
      <c r="D78" s="198"/>
      <c r="E78" s="198"/>
      <c r="F78" s="19"/>
      <c r="G78" s="19"/>
      <c r="H78" s="19"/>
      <c r="I78" s="19"/>
      <c r="J78" s="19"/>
      <c r="K78" s="19"/>
    </row>
    <row r="79" spans="1:11" x14ac:dyDescent="0.2">
      <c r="A79" s="201"/>
      <c r="B79" s="201"/>
      <c r="C79" s="198"/>
      <c r="D79" s="198"/>
      <c r="E79" s="198"/>
      <c r="F79" s="19"/>
      <c r="G79" s="19"/>
      <c r="H79" s="19"/>
      <c r="I79" s="19"/>
      <c r="J79" s="19"/>
      <c r="K79" s="19"/>
    </row>
    <row r="80" spans="1:11" x14ac:dyDescent="0.2">
      <c r="A80" s="201"/>
      <c r="B80" s="201"/>
      <c r="C80" s="198"/>
      <c r="D80" s="198"/>
      <c r="E80" s="198"/>
      <c r="F80" s="19"/>
      <c r="G80" s="19"/>
      <c r="H80" s="19"/>
      <c r="I80" s="19"/>
      <c r="J80" s="19"/>
      <c r="K80" s="19"/>
    </row>
    <row r="81" spans="1:11" x14ac:dyDescent="0.2">
      <c r="A81" s="201"/>
      <c r="B81" s="201"/>
      <c r="C81" s="198"/>
      <c r="D81" s="198"/>
      <c r="E81" s="198"/>
      <c r="F81" s="19"/>
      <c r="G81" s="19"/>
      <c r="H81" s="19"/>
      <c r="I81" s="19"/>
      <c r="J81" s="19"/>
      <c r="K81" s="19"/>
    </row>
    <row r="82" spans="1:11" x14ac:dyDescent="0.2">
      <c r="A82" s="201"/>
      <c r="B82" s="201"/>
      <c r="C82" s="198"/>
      <c r="D82" s="198"/>
      <c r="E82" s="198"/>
      <c r="F82" s="19"/>
      <c r="G82" s="19"/>
      <c r="H82" s="19"/>
      <c r="I82" s="19"/>
      <c r="J82" s="19"/>
      <c r="K82" s="19"/>
    </row>
    <row r="83" spans="1:11" x14ac:dyDescent="0.2">
      <c r="A83" s="201"/>
      <c r="B83" s="201"/>
      <c r="C83" s="198"/>
      <c r="D83" s="198"/>
      <c r="E83" s="198"/>
      <c r="F83" s="19"/>
      <c r="G83" s="19"/>
      <c r="H83" s="19"/>
      <c r="I83" s="19"/>
      <c r="J83" s="19"/>
      <c r="K83" s="19"/>
    </row>
    <row r="84" spans="1:11" x14ac:dyDescent="0.2">
      <c r="A84" s="201"/>
      <c r="B84" s="201"/>
      <c r="C84" s="198"/>
      <c r="D84" s="198"/>
      <c r="E84" s="198"/>
      <c r="F84" s="19"/>
      <c r="G84" s="19"/>
      <c r="H84" s="19"/>
      <c r="I84" s="19"/>
      <c r="J84" s="19"/>
      <c r="K84" s="19"/>
    </row>
    <row r="85" spans="1:11" x14ac:dyDescent="0.2">
      <c r="A85" s="201"/>
      <c r="B85" s="201"/>
      <c r="C85" s="198"/>
      <c r="D85" s="198"/>
      <c r="E85" s="198"/>
      <c r="F85" s="19"/>
      <c r="G85" s="19"/>
      <c r="H85" s="19"/>
      <c r="I85" s="19"/>
      <c r="J85" s="19"/>
      <c r="K85" s="19"/>
    </row>
    <row r="86" spans="1:11" x14ac:dyDescent="0.2">
      <c r="A86" s="201"/>
      <c r="B86" s="201"/>
      <c r="C86" s="198"/>
      <c r="D86" s="198"/>
      <c r="E86" s="198"/>
      <c r="F86" s="19"/>
      <c r="G86" s="19"/>
      <c r="H86" s="19"/>
      <c r="I86" s="19"/>
      <c r="J86" s="19"/>
      <c r="K86" s="19"/>
    </row>
    <row r="87" spans="1:11" x14ac:dyDescent="0.2">
      <c r="A87" s="201"/>
      <c r="B87" s="201"/>
      <c r="C87" s="198"/>
      <c r="D87" s="198"/>
      <c r="E87" s="198"/>
      <c r="F87" s="19"/>
      <c r="G87" s="19"/>
      <c r="H87" s="19"/>
      <c r="I87" s="19"/>
      <c r="J87" s="19"/>
      <c r="K87" s="19"/>
    </row>
    <row r="88" spans="1:11" x14ac:dyDescent="0.2">
      <c r="A88" s="201"/>
      <c r="B88" s="201"/>
      <c r="C88" s="198"/>
      <c r="D88" s="198"/>
      <c r="E88" s="198"/>
      <c r="F88" s="19"/>
      <c r="G88" s="19"/>
      <c r="H88" s="19"/>
      <c r="I88" s="19"/>
      <c r="J88" s="19"/>
      <c r="K88" s="19"/>
    </row>
    <row r="89" spans="1:11" x14ac:dyDescent="0.2">
      <c r="A89" s="201"/>
      <c r="B89" s="201"/>
      <c r="C89" s="198"/>
      <c r="D89" s="198"/>
      <c r="E89" s="198"/>
      <c r="F89" s="19"/>
      <c r="G89" s="19"/>
      <c r="H89" s="19"/>
      <c r="I89" s="19"/>
      <c r="J89" s="19"/>
      <c r="K89" s="19"/>
    </row>
    <row r="90" spans="1:11" x14ac:dyDescent="0.2">
      <c r="A90" s="201"/>
      <c r="B90" s="201"/>
      <c r="C90" s="198"/>
      <c r="D90" s="198"/>
      <c r="E90" s="198"/>
      <c r="F90" s="19"/>
      <c r="G90" s="19"/>
      <c r="H90" s="19"/>
      <c r="I90" s="19"/>
      <c r="J90" s="19"/>
      <c r="K90" s="19"/>
    </row>
    <row r="91" spans="1:11" x14ac:dyDescent="0.2">
      <c r="A91" s="201"/>
      <c r="B91" s="201"/>
      <c r="C91" s="198"/>
      <c r="D91" s="198"/>
      <c r="E91" s="198"/>
      <c r="F91" s="19"/>
      <c r="G91" s="19"/>
      <c r="H91" s="19"/>
      <c r="I91" s="19"/>
      <c r="J91" s="19"/>
      <c r="K91" s="19"/>
    </row>
    <row r="92" spans="1:11" x14ac:dyDescent="0.2">
      <c r="A92" s="201"/>
      <c r="B92" s="201"/>
      <c r="C92" s="198"/>
      <c r="D92" s="198"/>
      <c r="E92" s="198"/>
      <c r="F92" s="19"/>
      <c r="G92" s="19"/>
      <c r="H92" s="19"/>
      <c r="I92" s="19"/>
      <c r="J92" s="19"/>
      <c r="K92" s="19"/>
    </row>
    <row r="93" spans="1:11" x14ac:dyDescent="0.2">
      <c r="A93" s="201"/>
      <c r="B93" s="201"/>
      <c r="C93" s="198"/>
      <c r="D93" s="198"/>
      <c r="E93" s="198"/>
      <c r="F93" s="19"/>
      <c r="G93" s="19"/>
      <c r="H93" s="19"/>
      <c r="I93" s="19"/>
      <c r="J93" s="19"/>
      <c r="K93" s="19"/>
    </row>
    <row r="94" spans="1:11" x14ac:dyDescent="0.2">
      <c r="A94" s="201"/>
      <c r="B94" s="201"/>
      <c r="C94" s="198"/>
      <c r="D94" s="198"/>
      <c r="E94" s="198"/>
      <c r="F94" s="19"/>
      <c r="G94" s="19"/>
      <c r="H94" s="19"/>
      <c r="I94" s="19"/>
      <c r="J94" s="19"/>
      <c r="K94" s="19"/>
    </row>
    <row r="95" spans="1:11" x14ac:dyDescent="0.2">
      <c r="A95" s="201"/>
      <c r="B95" s="201"/>
      <c r="C95" s="198"/>
      <c r="D95" s="198"/>
      <c r="E95" s="198"/>
      <c r="F95" s="19"/>
      <c r="G95" s="19"/>
      <c r="H95" s="19"/>
      <c r="I95" s="19"/>
      <c r="J95" s="19"/>
      <c r="K95" s="19"/>
    </row>
    <row r="96" spans="1:11" x14ac:dyDescent="0.2">
      <c r="A96" s="201"/>
      <c r="B96" s="201"/>
      <c r="C96" s="198"/>
      <c r="D96" s="198"/>
      <c r="E96" s="198"/>
      <c r="F96" s="19"/>
      <c r="G96" s="19"/>
      <c r="H96" s="19"/>
      <c r="I96" s="19"/>
      <c r="J96" s="19"/>
      <c r="K96" s="19"/>
    </row>
    <row r="97" spans="1:11" x14ac:dyDescent="0.2">
      <c r="A97" s="201"/>
      <c r="B97" s="201"/>
      <c r="C97" s="198"/>
      <c r="D97" s="198"/>
      <c r="E97" s="198"/>
      <c r="F97" s="19"/>
      <c r="G97" s="19"/>
      <c r="H97" s="19"/>
      <c r="I97" s="19"/>
      <c r="J97" s="19"/>
      <c r="K97" s="19"/>
    </row>
    <row r="98" spans="1:11" x14ac:dyDescent="0.2">
      <c r="A98" s="201"/>
      <c r="B98" s="201"/>
      <c r="C98" s="198"/>
      <c r="D98" s="198"/>
      <c r="E98" s="198"/>
      <c r="F98" s="19"/>
      <c r="G98" s="19"/>
      <c r="H98" s="19"/>
      <c r="I98" s="19"/>
      <c r="J98" s="19"/>
      <c r="K98" s="19"/>
    </row>
    <row r="99" spans="1:11" x14ac:dyDescent="0.2">
      <c r="A99" s="201"/>
      <c r="B99" s="201"/>
      <c r="C99" s="198"/>
      <c r="D99" s="198"/>
      <c r="E99" s="198"/>
      <c r="F99" s="19"/>
      <c r="G99" s="19"/>
      <c r="H99" s="19"/>
      <c r="I99" s="19"/>
      <c r="J99" s="19"/>
      <c r="K99" s="19"/>
    </row>
    <row r="100" spans="1:11" x14ac:dyDescent="0.2">
      <c r="A100" s="201"/>
      <c r="B100" s="201"/>
      <c r="C100" s="198"/>
      <c r="D100" s="198"/>
      <c r="E100" s="198"/>
      <c r="F100" s="19"/>
      <c r="G100" s="19"/>
      <c r="H100" s="19"/>
      <c r="I100" s="19"/>
      <c r="J100" s="19"/>
      <c r="K100" s="19"/>
    </row>
    <row r="101" spans="1:11" x14ac:dyDescent="0.2">
      <c r="A101" s="201"/>
      <c r="B101" s="201"/>
      <c r="C101" s="198"/>
      <c r="D101" s="198"/>
      <c r="E101" s="198"/>
      <c r="F101" s="19"/>
      <c r="G101" s="19"/>
      <c r="H101" s="19"/>
      <c r="I101" s="19"/>
      <c r="J101" s="19"/>
      <c r="K101" s="19"/>
    </row>
    <row r="102" spans="1:11" x14ac:dyDescent="0.2">
      <c r="A102" s="201"/>
      <c r="B102" s="201"/>
      <c r="C102" s="198"/>
      <c r="D102" s="198"/>
      <c r="E102" s="198"/>
      <c r="F102" s="19"/>
      <c r="G102" s="19"/>
      <c r="H102" s="19"/>
      <c r="I102" s="19"/>
      <c r="J102" s="19"/>
      <c r="K102" s="19"/>
    </row>
    <row r="103" spans="1:11" x14ac:dyDescent="0.2">
      <c r="A103" s="201"/>
      <c r="B103" s="201"/>
      <c r="C103" s="198"/>
      <c r="D103" s="198"/>
      <c r="E103" s="198"/>
      <c r="F103" s="19"/>
      <c r="G103" s="19"/>
      <c r="H103" s="19"/>
      <c r="I103" s="19"/>
      <c r="J103" s="19"/>
      <c r="K103" s="19"/>
    </row>
    <row r="104" spans="1:11" x14ac:dyDescent="0.2">
      <c r="A104" s="201"/>
      <c r="B104" s="201"/>
      <c r="C104" s="198"/>
      <c r="D104" s="198"/>
      <c r="E104" s="198"/>
      <c r="F104" s="19"/>
      <c r="G104" s="19"/>
      <c r="H104" s="19"/>
      <c r="I104" s="19"/>
      <c r="J104" s="19"/>
      <c r="K104" s="19"/>
    </row>
    <row r="105" spans="1:11" x14ac:dyDescent="0.2">
      <c r="A105" s="201"/>
      <c r="B105" s="201"/>
      <c r="C105" s="198"/>
      <c r="D105" s="198"/>
      <c r="E105" s="198"/>
      <c r="F105" s="19"/>
      <c r="G105" s="19"/>
      <c r="H105" s="19"/>
      <c r="I105" s="19"/>
      <c r="J105" s="19"/>
      <c r="K105" s="19"/>
    </row>
    <row r="106" spans="1:11" x14ac:dyDescent="0.2">
      <c r="A106" s="201"/>
      <c r="B106" s="201"/>
      <c r="C106" s="198"/>
      <c r="D106" s="198"/>
      <c r="E106" s="198"/>
      <c r="F106" s="19"/>
      <c r="G106" s="19"/>
      <c r="H106" s="19"/>
      <c r="I106" s="19"/>
      <c r="J106" s="19"/>
      <c r="K106" s="19"/>
    </row>
    <row r="107" spans="1:11" x14ac:dyDescent="0.2">
      <c r="A107" s="201"/>
      <c r="B107" s="201"/>
      <c r="C107" s="198"/>
      <c r="D107" s="198"/>
      <c r="E107" s="198"/>
      <c r="F107" s="19"/>
      <c r="G107" s="19"/>
      <c r="H107" s="19"/>
      <c r="I107" s="19"/>
      <c r="J107" s="19"/>
      <c r="K107" s="19"/>
    </row>
    <row r="108" spans="1:11" x14ac:dyDescent="0.2">
      <c r="A108" s="201"/>
      <c r="B108" s="201"/>
      <c r="C108" s="198"/>
      <c r="D108" s="198"/>
      <c r="E108" s="198"/>
      <c r="F108" s="19"/>
      <c r="G108" s="19"/>
      <c r="H108" s="19"/>
      <c r="I108" s="19"/>
      <c r="J108" s="19"/>
      <c r="K108" s="19"/>
    </row>
    <row r="109" spans="1:11" x14ac:dyDescent="0.2">
      <c r="A109" s="201"/>
      <c r="B109" s="201"/>
      <c r="C109" s="198"/>
      <c r="D109" s="198"/>
      <c r="E109" s="198"/>
      <c r="F109" s="19"/>
      <c r="G109" s="19"/>
      <c r="H109" s="19"/>
      <c r="I109" s="19"/>
      <c r="J109" s="19"/>
      <c r="K109" s="19"/>
    </row>
    <row r="110" spans="1:11" x14ac:dyDescent="0.2">
      <c r="A110" s="201"/>
      <c r="B110" s="201"/>
      <c r="C110" s="198"/>
      <c r="D110" s="198"/>
      <c r="E110" s="198"/>
      <c r="F110" s="19"/>
      <c r="G110" s="19"/>
      <c r="H110" s="19"/>
      <c r="I110" s="19"/>
      <c r="J110" s="19"/>
      <c r="K110" s="19"/>
    </row>
    <row r="111" spans="1:11" x14ac:dyDescent="0.2">
      <c r="A111" s="201"/>
      <c r="B111" s="201"/>
      <c r="C111" s="198"/>
      <c r="D111" s="198"/>
      <c r="E111" s="198"/>
      <c r="F111" s="19"/>
      <c r="G111" s="19"/>
      <c r="H111" s="19"/>
      <c r="I111" s="19"/>
      <c r="J111" s="19"/>
      <c r="K111" s="19"/>
    </row>
    <row r="112" spans="1:11" x14ac:dyDescent="0.2">
      <c r="A112" s="201"/>
      <c r="B112" s="201"/>
      <c r="C112" s="198"/>
      <c r="D112" s="198"/>
      <c r="E112" s="198"/>
      <c r="F112" s="19"/>
      <c r="G112" s="19"/>
      <c r="H112" s="19"/>
      <c r="I112" s="19"/>
      <c r="J112" s="19"/>
      <c r="K112" s="19"/>
    </row>
    <row r="113" spans="1:11" x14ac:dyDescent="0.2">
      <c r="A113" s="201"/>
      <c r="B113" s="201"/>
      <c r="C113" s="198"/>
      <c r="D113" s="198"/>
      <c r="E113" s="198"/>
      <c r="F113" s="19"/>
      <c r="G113" s="19"/>
      <c r="H113" s="19"/>
      <c r="I113" s="19"/>
      <c r="J113" s="19"/>
      <c r="K113" s="19"/>
    </row>
    <row r="114" spans="1:11" x14ac:dyDescent="0.2">
      <c r="A114" s="201"/>
      <c r="B114" s="201"/>
      <c r="C114" s="198"/>
      <c r="D114" s="198"/>
      <c r="E114" s="198"/>
      <c r="F114" s="19"/>
      <c r="G114" s="19"/>
      <c r="H114" s="19"/>
      <c r="I114" s="19"/>
      <c r="J114" s="19"/>
      <c r="K114" s="19"/>
    </row>
    <row r="115" spans="1:11" x14ac:dyDescent="0.2">
      <c r="A115" s="201"/>
      <c r="B115" s="201"/>
      <c r="C115" s="198"/>
      <c r="D115" s="198"/>
      <c r="E115" s="198"/>
      <c r="F115" s="19"/>
      <c r="G115" s="19"/>
      <c r="H115" s="19"/>
      <c r="I115" s="19"/>
      <c r="J115" s="19"/>
      <c r="K115" s="19"/>
    </row>
    <row r="116" spans="1:11" x14ac:dyDescent="0.2">
      <c r="A116" s="201"/>
      <c r="B116" s="201"/>
      <c r="C116" s="198"/>
      <c r="D116" s="198"/>
      <c r="E116" s="198"/>
      <c r="F116" s="19"/>
      <c r="G116" s="19"/>
      <c r="H116" s="19"/>
      <c r="I116" s="19"/>
      <c r="J116" s="19"/>
      <c r="K116" s="19"/>
    </row>
    <row r="117" spans="1:11" x14ac:dyDescent="0.2">
      <c r="A117" s="201"/>
      <c r="B117" s="201"/>
      <c r="C117" s="198"/>
      <c r="D117" s="198"/>
      <c r="E117" s="198"/>
      <c r="F117" s="19"/>
      <c r="G117" s="19"/>
      <c r="H117" s="19"/>
      <c r="I117" s="19"/>
      <c r="J117" s="19"/>
      <c r="K117" s="19"/>
    </row>
    <row r="118" spans="1:11" x14ac:dyDescent="0.2">
      <c r="A118" s="201"/>
      <c r="B118" s="201"/>
      <c r="C118" s="198"/>
      <c r="D118" s="198"/>
      <c r="E118" s="198"/>
      <c r="F118" s="19"/>
      <c r="G118" s="19"/>
      <c r="H118" s="19"/>
      <c r="I118" s="19"/>
      <c r="J118" s="19"/>
      <c r="K118" s="19"/>
    </row>
    <row r="119" spans="1:11" x14ac:dyDescent="0.2">
      <c r="A119" s="201"/>
      <c r="B119" s="201"/>
      <c r="C119" s="198"/>
      <c r="D119" s="198"/>
      <c r="E119" s="198"/>
      <c r="F119" s="19"/>
      <c r="G119" s="19"/>
      <c r="H119" s="19"/>
      <c r="I119" s="19"/>
      <c r="J119" s="19"/>
      <c r="K119" s="19"/>
    </row>
    <row r="120" spans="1:11" x14ac:dyDescent="0.2">
      <c r="A120" s="201"/>
      <c r="B120" s="201"/>
      <c r="C120" s="198"/>
      <c r="D120" s="198"/>
      <c r="E120" s="198"/>
      <c r="F120" s="19"/>
      <c r="G120" s="19"/>
      <c r="H120" s="19"/>
      <c r="I120" s="19"/>
      <c r="J120" s="19"/>
      <c r="K120" s="19"/>
    </row>
    <row r="121" spans="1:11" x14ac:dyDescent="0.2">
      <c r="A121" s="201"/>
      <c r="B121" s="201"/>
      <c r="C121" s="198"/>
      <c r="D121" s="198"/>
      <c r="E121" s="198"/>
      <c r="F121" s="19"/>
      <c r="G121" s="19"/>
      <c r="H121" s="19"/>
      <c r="I121" s="19"/>
      <c r="J121" s="19"/>
      <c r="K121" s="19"/>
    </row>
    <row r="122" spans="1:11" x14ac:dyDescent="0.2">
      <c r="A122" s="201"/>
      <c r="B122" s="201"/>
      <c r="C122" s="198"/>
      <c r="D122" s="198"/>
      <c r="E122" s="198"/>
      <c r="F122" s="19"/>
      <c r="G122" s="19"/>
      <c r="H122" s="19"/>
      <c r="I122" s="19"/>
      <c r="J122" s="19"/>
      <c r="K122" s="19"/>
    </row>
    <row r="123" spans="1:11" x14ac:dyDescent="0.2">
      <c r="A123" s="201"/>
      <c r="B123" s="201"/>
      <c r="C123" s="198"/>
      <c r="D123" s="198"/>
      <c r="E123" s="198"/>
      <c r="F123" s="19"/>
      <c r="G123" s="19"/>
      <c r="H123" s="19"/>
      <c r="I123" s="19"/>
      <c r="J123" s="19"/>
      <c r="K123" s="19"/>
    </row>
    <row r="124" spans="1:11" x14ac:dyDescent="0.2">
      <c r="A124" s="201"/>
      <c r="B124" s="201"/>
      <c r="C124" s="198"/>
      <c r="D124" s="198"/>
      <c r="E124" s="198"/>
      <c r="F124" s="19"/>
      <c r="G124" s="19"/>
      <c r="H124" s="19"/>
      <c r="I124" s="19"/>
      <c r="J124" s="19"/>
      <c r="K124" s="19"/>
    </row>
    <row r="125" spans="1:11" x14ac:dyDescent="0.2">
      <c r="A125" s="201"/>
      <c r="B125" s="201"/>
      <c r="C125" s="198"/>
      <c r="D125" s="198"/>
      <c r="E125" s="198"/>
      <c r="F125" s="19"/>
      <c r="G125" s="19"/>
      <c r="H125" s="19"/>
      <c r="I125" s="19"/>
      <c r="J125" s="19"/>
      <c r="K125" s="19"/>
    </row>
    <row r="126" spans="1:11" x14ac:dyDescent="0.2">
      <c r="A126" s="201"/>
      <c r="B126" s="201"/>
      <c r="C126" s="198"/>
      <c r="D126" s="198"/>
      <c r="E126" s="198"/>
      <c r="F126" s="19"/>
      <c r="G126" s="19"/>
      <c r="H126" s="19"/>
      <c r="I126" s="19"/>
      <c r="J126" s="19"/>
      <c r="K126" s="19"/>
    </row>
    <row r="127" spans="1:11" x14ac:dyDescent="0.2">
      <c r="A127" s="201"/>
      <c r="B127" s="201"/>
      <c r="C127" s="198"/>
      <c r="D127" s="198"/>
      <c r="E127" s="198"/>
      <c r="F127" s="19"/>
      <c r="G127" s="19"/>
      <c r="H127" s="19"/>
      <c r="I127" s="19"/>
      <c r="J127" s="19"/>
      <c r="K127" s="19"/>
    </row>
    <row r="128" spans="1:11" x14ac:dyDescent="0.2">
      <c r="A128" s="201"/>
      <c r="B128" s="201"/>
      <c r="C128" s="198"/>
      <c r="D128" s="198"/>
      <c r="E128" s="198"/>
      <c r="F128" s="19"/>
      <c r="G128" s="19"/>
      <c r="H128" s="19"/>
      <c r="I128" s="19"/>
      <c r="J128" s="19"/>
      <c r="K128" s="19"/>
    </row>
    <row r="129" spans="1:11" x14ac:dyDescent="0.2">
      <c r="A129" s="201"/>
      <c r="B129" s="201"/>
      <c r="C129" s="198"/>
      <c r="D129" s="198"/>
      <c r="E129" s="198"/>
      <c r="F129" s="19"/>
      <c r="G129" s="19"/>
      <c r="H129" s="19"/>
      <c r="I129" s="19"/>
      <c r="J129" s="19"/>
      <c r="K129" s="19"/>
    </row>
    <row r="130" spans="1:11" x14ac:dyDescent="0.2">
      <c r="A130" s="201"/>
      <c r="B130" s="201"/>
      <c r="C130" s="198"/>
      <c r="D130" s="198"/>
      <c r="E130" s="198"/>
      <c r="F130" s="19"/>
      <c r="G130" s="19"/>
      <c r="H130" s="19"/>
      <c r="I130" s="19"/>
      <c r="J130" s="19"/>
      <c r="K130" s="19"/>
    </row>
    <row r="131" spans="1:11" x14ac:dyDescent="0.2">
      <c r="A131" s="201"/>
      <c r="B131" s="201"/>
      <c r="C131" s="198"/>
      <c r="D131" s="198"/>
      <c r="E131" s="198"/>
      <c r="F131" s="19"/>
      <c r="G131" s="19"/>
      <c r="H131" s="19"/>
      <c r="I131" s="19"/>
      <c r="J131" s="19"/>
      <c r="K131" s="19"/>
    </row>
    <row r="132" spans="1:11" x14ac:dyDescent="0.2">
      <c r="A132" s="201"/>
    </row>
    <row r="133" spans="1:11" x14ac:dyDescent="0.2">
      <c r="A133" s="201"/>
    </row>
  </sheetData>
  <mergeCells count="25">
    <mergeCell ref="B21:K21"/>
    <mergeCell ref="B57:K57"/>
    <mergeCell ref="C40:E40"/>
    <mergeCell ref="C43:E43"/>
    <mergeCell ref="C46:E46"/>
    <mergeCell ref="C49:E49"/>
    <mergeCell ref="C52:E52"/>
    <mergeCell ref="A1:K1"/>
    <mergeCell ref="I2:K2"/>
    <mergeCell ref="B3:K3"/>
    <mergeCell ref="A6:A7"/>
    <mergeCell ref="B6:D7"/>
    <mergeCell ref="E7:F7"/>
    <mergeCell ref="B2:F2"/>
    <mergeCell ref="G2:H2"/>
    <mergeCell ref="B4:K4"/>
    <mergeCell ref="A18:B18"/>
    <mergeCell ref="A9:K9"/>
    <mergeCell ref="A10:K10"/>
    <mergeCell ref="A11:K11"/>
    <mergeCell ref="G5:K6"/>
    <mergeCell ref="G7:K7"/>
    <mergeCell ref="B5:D5"/>
    <mergeCell ref="E5:F6"/>
    <mergeCell ref="B14:K14"/>
  </mergeCells>
  <phoneticPr fontId="4" type="noConversion"/>
  <pageMargins left="0.511811024" right="0.511811024" top="0.78740157499999996" bottom="0.78740157499999996" header="0.31496062000000002" footer="0.31496062000000002"/>
  <pageSetup paperSize="9" scale="73" fitToHeight="0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5"/>
  <sheetViews>
    <sheetView view="pageBreakPreview" zoomScale="85" zoomScaleNormal="100" zoomScaleSheetLayoutView="85" workbookViewId="0">
      <selection activeCell="H19" sqref="H19"/>
    </sheetView>
  </sheetViews>
  <sheetFormatPr defaultColWidth="9.140625" defaultRowHeight="12.75" x14ac:dyDescent="0.2"/>
  <cols>
    <col min="1" max="1" width="13.85546875" style="76" customWidth="1"/>
    <col min="2" max="2" width="15.85546875" style="76" customWidth="1"/>
    <col min="3" max="3" width="14.140625" style="76" customWidth="1"/>
    <col min="4" max="4" width="11.140625" style="76" customWidth="1"/>
    <col min="5" max="5" width="13.42578125" style="76" customWidth="1"/>
    <col min="6" max="6" width="9.140625" style="76"/>
    <col min="7" max="7" width="11.5703125" style="76" customWidth="1"/>
    <col min="8" max="8" width="9.140625" style="76"/>
    <col min="9" max="9" width="12.42578125" style="76" customWidth="1"/>
    <col min="10" max="16384" width="9.140625" style="76"/>
  </cols>
  <sheetData>
    <row r="1" spans="1:16" ht="73.5" customHeight="1" x14ac:dyDescent="0.2">
      <c r="A1" s="1777" t="str">
        <f>SER.PREL.2!A1</f>
        <v>GOVERNO DO ESTADO DO PARÁ
PREFEITURA MUNICIPAL DE PLACAS
CNPJ 01.611.858/0001-55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</row>
    <row r="2" spans="1:16" ht="15" x14ac:dyDescent="0.2">
      <c r="A2" s="326" t="s">
        <v>126</v>
      </c>
      <c r="B2" s="1848" t="str">
        <f>SER.PREL.2!B2</f>
        <v>PREFEITURA MUNICIPAL DE PLACAS</v>
      </c>
      <c r="C2" s="1848"/>
      <c r="D2" s="1848"/>
      <c r="E2" s="1848"/>
      <c r="F2" s="1848"/>
      <c r="G2" s="1707" t="s">
        <v>136</v>
      </c>
      <c r="H2" s="1708"/>
      <c r="I2" s="1864" t="str">
        <f>SER.PREL.2!I2</f>
        <v>PLACAS / PA</v>
      </c>
      <c r="J2" s="1864"/>
      <c r="K2" s="1864"/>
    </row>
    <row r="3" spans="1:16" ht="15" x14ac:dyDescent="0.2">
      <c r="A3" s="326" t="s">
        <v>127</v>
      </c>
      <c r="B3" s="1836" t="str">
        <f>SER.PREL.2!B3</f>
        <v>CONSTRUÇÃO DO COMPLEXO ADMINISTRATIVO DO MUNICIPIO DE PLACAS</v>
      </c>
      <c r="C3" s="1836"/>
      <c r="D3" s="1836"/>
      <c r="E3" s="1836"/>
      <c r="F3" s="1836"/>
      <c r="G3" s="1836"/>
      <c r="H3" s="1836"/>
      <c r="I3" s="1836"/>
      <c r="J3" s="1836"/>
      <c r="K3" s="1836"/>
    </row>
    <row r="4" spans="1:16" ht="15" x14ac:dyDescent="0.2">
      <c r="A4" s="326" t="s">
        <v>228</v>
      </c>
      <c r="B4" s="1836" t="str">
        <f>SER.PREL.2!B4</f>
        <v>RUA OLAVO BILAC N° 408, BAIRRO CENTRO – PLACAS/PARÁ</v>
      </c>
      <c r="C4" s="1836"/>
      <c r="D4" s="1836"/>
      <c r="E4" s="1836"/>
      <c r="F4" s="1836"/>
      <c r="G4" s="1836"/>
      <c r="H4" s="1836"/>
      <c r="I4" s="1836"/>
      <c r="J4" s="1836"/>
      <c r="K4" s="1836"/>
    </row>
    <row r="5" spans="1:16" ht="15" x14ac:dyDescent="0.2">
      <c r="A5" s="334" t="s">
        <v>128</v>
      </c>
      <c r="B5" s="1881">
        <f>SER.PREL.2!B5</f>
        <v>0.28820000000000001</v>
      </c>
      <c r="C5" s="1881"/>
      <c r="D5" s="1881"/>
      <c r="E5" s="1837" t="s">
        <v>103</v>
      </c>
      <c r="F5" s="1838"/>
      <c r="G5" s="1880" t="str">
        <f>SER.PREL.2!G5</f>
        <v>SINAPI ABRIL/2022 - DESONERADA</v>
      </c>
      <c r="H5" s="1880"/>
      <c r="I5" s="1880"/>
      <c r="J5" s="1880"/>
      <c r="K5" s="1880"/>
    </row>
    <row r="6" spans="1:16" x14ac:dyDescent="0.2">
      <c r="A6" s="1870" t="s">
        <v>129</v>
      </c>
      <c r="B6" s="1836" t="str">
        <f>SER.PREL.2!B6</f>
        <v>MARUZA BAPTISTA</v>
      </c>
      <c r="C6" s="1836"/>
      <c r="D6" s="1836"/>
      <c r="E6" s="1715"/>
      <c r="F6" s="1716"/>
      <c r="G6" s="1880"/>
      <c r="H6" s="1880"/>
      <c r="I6" s="1880"/>
      <c r="J6" s="1880"/>
      <c r="K6" s="1880"/>
    </row>
    <row r="7" spans="1:16" ht="35.25" customHeight="1" x14ac:dyDescent="0.2">
      <c r="A7" s="1871"/>
      <c r="B7" s="1836"/>
      <c r="C7" s="1836"/>
      <c r="D7" s="1836"/>
      <c r="E7" s="1700" t="s">
        <v>130</v>
      </c>
      <c r="F7" s="1701"/>
      <c r="G7" s="1872" t="str">
        <f>SER.PREL.2!G7</f>
        <v>CAU - A : 28510-2</v>
      </c>
      <c r="H7" s="1872"/>
      <c r="I7" s="1872"/>
      <c r="J7" s="1872"/>
      <c r="K7" s="1872"/>
    </row>
    <row r="8" spans="1:16" ht="13.5" thickBot="1" x14ac:dyDescent="0.25"/>
    <row r="9" spans="1:16" ht="13.5" thickBot="1" x14ac:dyDescent="0.25">
      <c r="A9" s="1865" t="s">
        <v>84</v>
      </c>
      <c r="B9" s="1866"/>
      <c r="C9" s="1866"/>
      <c r="D9" s="1866"/>
      <c r="E9" s="1866"/>
      <c r="F9" s="1866"/>
      <c r="G9" s="1866"/>
      <c r="H9" s="1866"/>
      <c r="I9" s="1866"/>
      <c r="J9" s="1866"/>
      <c r="K9" s="1867"/>
    </row>
    <row r="10" spans="1:16" ht="13.5" thickBot="1" x14ac:dyDescent="0.25">
      <c r="A10" s="1884" t="str">
        <f>ORÇ!B3</f>
        <v>CONSTRUÇÃO DO COMPLEXO ADMINISTRATIVO DO MUNICIPIO DE PLACAS</v>
      </c>
      <c r="B10" s="1885"/>
      <c r="C10" s="1885"/>
      <c r="D10" s="1885"/>
      <c r="E10" s="1885"/>
      <c r="F10" s="1885"/>
      <c r="G10" s="1885"/>
      <c r="H10" s="1885"/>
      <c r="I10" s="1885"/>
      <c r="J10" s="1885"/>
      <c r="K10" s="1886"/>
    </row>
    <row r="11" spans="1:16" ht="13.5" thickBot="1" x14ac:dyDescent="0.25">
      <c r="A11" s="1884" t="str">
        <f>ORÇ!D31</f>
        <v>Infra-estrutura e Superestrutura</v>
      </c>
      <c r="B11" s="1885"/>
      <c r="C11" s="1885"/>
      <c r="D11" s="1885"/>
      <c r="E11" s="1885"/>
      <c r="F11" s="1885"/>
      <c r="G11" s="1885"/>
      <c r="H11" s="1885"/>
      <c r="I11" s="1885"/>
      <c r="J11" s="1885"/>
      <c r="K11" s="1886"/>
    </row>
    <row r="12" spans="1:16" x14ac:dyDescent="0.2">
      <c r="A12" s="77"/>
      <c r="B12" s="77"/>
      <c r="C12" s="77"/>
      <c r="D12" s="77"/>
      <c r="E12" s="77"/>
      <c r="F12" s="77"/>
      <c r="G12" s="77"/>
      <c r="H12" s="77"/>
      <c r="I12" s="77"/>
      <c r="J12" s="77"/>
    </row>
    <row r="13" spans="1:16" x14ac:dyDescent="0.2">
      <c r="A13" s="181">
        <f>ORÇ!A31</f>
        <v>4</v>
      </c>
      <c r="B13" s="75" t="str">
        <f>ORÇ!D31</f>
        <v>Infra-estrutura e Superestrutura</v>
      </c>
      <c r="C13" s="74"/>
      <c r="D13" s="72"/>
      <c r="E13" s="72"/>
      <c r="F13" s="72"/>
      <c r="G13" s="72"/>
      <c r="H13" s="72"/>
      <c r="I13" s="72"/>
      <c r="J13" s="72"/>
      <c r="K13" s="72"/>
    </row>
    <row r="14" spans="1:16" s="38" customFormat="1" ht="14.25" x14ac:dyDescent="0.2">
      <c r="A14" s="181" t="str">
        <f>ORÇ!A32</f>
        <v>4.1</v>
      </c>
      <c r="B14" s="1384" t="str">
        <f>ORÇ!D32</f>
        <v>Estacas</v>
      </c>
      <c r="C14" s="1488"/>
      <c r="D14" s="1488"/>
      <c r="E14" s="1488"/>
      <c r="F14" s="1488"/>
      <c r="G14" s="1488"/>
      <c r="H14" s="1488"/>
      <c r="I14" s="1488"/>
      <c r="J14" s="1488"/>
      <c r="K14" s="1488"/>
      <c r="L14" s="1488"/>
      <c r="M14" s="1488"/>
      <c r="N14" s="1488"/>
      <c r="O14" s="1488"/>
      <c r="P14" s="1488"/>
    </row>
    <row r="15" spans="1:16" s="38" customFormat="1" ht="14.25" x14ac:dyDescent="0.2">
      <c r="A15" s="181" t="str">
        <f>ORÇ!A33</f>
        <v>4.1.1</v>
      </c>
      <c r="B15" s="1384" t="str">
        <f>ORÇ!D33</f>
        <v>Estaca raiz - 30cm</v>
      </c>
      <c r="C15" s="1488"/>
      <c r="D15" s="1488"/>
      <c r="E15" s="1488"/>
      <c r="F15" s="1488"/>
      <c r="G15" s="1488"/>
      <c r="H15" s="1488"/>
      <c r="I15" s="1488"/>
      <c r="J15" s="1488"/>
      <c r="K15" s="1488"/>
      <c r="L15" s="1488"/>
      <c r="M15" s="1488"/>
      <c r="N15" s="1488"/>
      <c r="O15" s="1488"/>
      <c r="P15" s="1488"/>
    </row>
    <row r="16" spans="1:16" s="38" customFormat="1" ht="14.25" x14ac:dyDescent="0.2">
      <c r="C16" s="1488"/>
      <c r="D16" s="1488"/>
      <c r="E16" s="1488"/>
      <c r="F16" s="1488"/>
      <c r="G16" s="1488"/>
      <c r="H16" s="1488"/>
      <c r="I16" s="1488"/>
      <c r="J16" s="1488"/>
      <c r="K16" s="1488"/>
      <c r="L16" s="1488"/>
      <c r="M16" s="1488"/>
      <c r="N16" s="1488"/>
      <c r="O16" s="1488"/>
      <c r="P16" s="1488"/>
    </row>
    <row r="17" spans="1:16" s="38" customFormat="1" ht="14.25" x14ac:dyDescent="0.2">
      <c r="A17" s="1487"/>
      <c r="B17" s="1489" t="s">
        <v>254</v>
      </c>
      <c r="C17" s="1489"/>
      <c r="D17" s="1489" t="s">
        <v>250</v>
      </c>
      <c r="E17" s="1489"/>
      <c r="F17" s="1489" t="s">
        <v>255</v>
      </c>
      <c r="H17" s="1488"/>
      <c r="I17" s="1488"/>
      <c r="J17" s="1488"/>
      <c r="K17" s="1488"/>
      <c r="L17" s="1488"/>
      <c r="M17" s="1488"/>
      <c r="N17" s="1488"/>
      <c r="O17" s="1488"/>
      <c r="P17" s="1488"/>
    </row>
    <row r="18" spans="1:16" s="38" customFormat="1" ht="14.25" x14ac:dyDescent="0.2">
      <c r="A18" s="1487"/>
      <c r="B18" s="1489">
        <v>12</v>
      </c>
      <c r="C18" s="1489" t="s">
        <v>71</v>
      </c>
      <c r="D18" s="1489">
        <v>35</v>
      </c>
      <c r="E18" s="1489" t="s">
        <v>72</v>
      </c>
      <c r="F18" s="1489">
        <f>ROUND(B18*D18,2)</f>
        <v>420</v>
      </c>
      <c r="H18" s="1488"/>
      <c r="I18" s="1488"/>
      <c r="J18" s="1488"/>
      <c r="K18" s="1488"/>
      <c r="L18" s="1488"/>
      <c r="M18" s="1488"/>
      <c r="N18" s="1488"/>
      <c r="O18" s="1488"/>
      <c r="P18" s="1488"/>
    </row>
    <row r="19" spans="1:16" s="38" customFormat="1" ht="15" thickBot="1" x14ac:dyDescent="0.25">
      <c r="A19" s="1487"/>
      <c r="B19" s="1488"/>
      <c r="C19" s="1488"/>
      <c r="D19" s="1488"/>
      <c r="E19" s="1488"/>
      <c r="F19" s="1488"/>
      <c r="G19" s="1488"/>
      <c r="H19" s="1488"/>
      <c r="I19" s="1488"/>
      <c r="J19" s="1488"/>
      <c r="K19" s="1488"/>
      <c r="L19" s="1488"/>
      <c r="M19" s="1488"/>
      <c r="N19" s="1488"/>
      <c r="O19" s="1488"/>
      <c r="P19" s="1488"/>
    </row>
    <row r="20" spans="1:16" s="38" customFormat="1" ht="15.75" thickBot="1" x14ac:dyDescent="0.3">
      <c r="A20" s="1487"/>
      <c r="B20" s="1490" t="s">
        <v>1485</v>
      </c>
      <c r="C20" s="1491">
        <f>SUM(F18:F18)</f>
        <v>420</v>
      </c>
      <c r="D20" s="1492" t="s">
        <v>17</v>
      </c>
      <c r="E20" s="1488"/>
      <c r="F20" s="1488"/>
      <c r="G20" s="1488"/>
      <c r="H20" s="1488"/>
      <c r="I20" s="1488"/>
      <c r="J20" s="1488"/>
      <c r="K20" s="1488"/>
      <c r="L20" s="1488"/>
      <c r="M20" s="1488"/>
      <c r="N20" s="1488"/>
      <c r="O20" s="1488"/>
      <c r="P20" s="1488"/>
    </row>
    <row r="21" spans="1:16" s="38" customFormat="1" ht="14.25" x14ac:dyDescent="0.2">
      <c r="A21" s="1487"/>
      <c r="B21" s="1488"/>
      <c r="C21" s="1488"/>
      <c r="D21" s="1488"/>
      <c r="E21" s="1488"/>
      <c r="F21" s="1488"/>
      <c r="G21" s="1488"/>
      <c r="H21" s="1488"/>
      <c r="I21" s="1488"/>
      <c r="J21" s="1488"/>
      <c r="K21" s="1488"/>
      <c r="L21" s="1488"/>
      <c r="M21" s="1488"/>
      <c r="N21" s="1488"/>
      <c r="O21" s="1488"/>
      <c r="P21" s="1488"/>
    </row>
    <row r="22" spans="1:16" s="38" customFormat="1" ht="14.25" x14ac:dyDescent="0.2">
      <c r="A22" s="181" t="str">
        <f>ORÇ!A34</f>
        <v>4.1.2</v>
      </c>
      <c r="B22" s="1384" t="str">
        <f>ORÇ!D34</f>
        <v>Arrasamento de estaca</v>
      </c>
      <c r="C22" s="1488"/>
      <c r="D22" s="1488"/>
      <c r="E22" s="1488"/>
      <c r="F22" s="1488"/>
      <c r="G22" s="1488"/>
      <c r="H22" s="1488"/>
      <c r="I22" s="1488"/>
      <c r="J22" s="1488"/>
      <c r="K22" s="1488"/>
      <c r="L22" s="1488"/>
      <c r="M22" s="1488"/>
      <c r="N22" s="1488"/>
      <c r="O22" s="1488"/>
      <c r="P22" s="1488"/>
    </row>
    <row r="23" spans="1:16" s="38" customFormat="1" ht="15" thickBot="1" x14ac:dyDescent="0.25">
      <c r="A23" s="1487"/>
      <c r="B23" s="1488"/>
      <c r="C23" s="1488"/>
      <c r="D23" s="1488"/>
      <c r="E23" s="1488"/>
      <c r="F23" s="1488"/>
      <c r="G23" s="1488"/>
      <c r="H23" s="1488"/>
      <c r="I23" s="1488"/>
      <c r="J23" s="1488"/>
      <c r="K23" s="1488"/>
      <c r="L23" s="1488"/>
      <c r="M23" s="1488"/>
      <c r="N23" s="1488"/>
      <c r="O23" s="1488"/>
      <c r="P23" s="1488"/>
    </row>
    <row r="24" spans="1:16" s="38" customFormat="1" ht="15.75" thickBot="1" x14ac:dyDescent="0.3">
      <c r="A24" s="1487"/>
      <c r="B24" s="1490" t="s">
        <v>250</v>
      </c>
      <c r="C24" s="1491">
        <f>D18</f>
        <v>35</v>
      </c>
      <c r="D24" s="1492" t="s">
        <v>96</v>
      </c>
      <c r="E24" s="1488"/>
      <c r="F24" s="1488"/>
      <c r="G24" s="1488"/>
      <c r="H24" s="1488"/>
      <c r="I24" s="1488"/>
      <c r="J24" s="1488"/>
      <c r="K24" s="1488"/>
      <c r="L24" s="1488"/>
      <c r="M24" s="1488"/>
      <c r="N24" s="1488"/>
      <c r="O24" s="1488"/>
      <c r="P24" s="1488"/>
    </row>
    <row r="25" spans="1:16" s="38" customFormat="1" ht="14.25" x14ac:dyDescent="0.2">
      <c r="A25" s="1487"/>
      <c r="B25" s="1488"/>
      <c r="C25" s="1488"/>
      <c r="D25" s="1488"/>
      <c r="E25" s="1488"/>
      <c r="F25" s="1488"/>
      <c r="G25" s="1488"/>
      <c r="H25" s="1488"/>
      <c r="I25" s="1488"/>
      <c r="J25" s="1488"/>
      <c r="K25" s="1488"/>
      <c r="L25" s="1488"/>
      <c r="M25" s="1488"/>
      <c r="N25" s="1488"/>
      <c r="O25" s="1488"/>
      <c r="P25" s="1488"/>
    </row>
    <row r="26" spans="1:16" x14ac:dyDescent="0.2">
      <c r="A26" s="75" t="str">
        <f>ORÇ!A35</f>
        <v>4.2</v>
      </c>
      <c r="B26" s="75" t="str">
        <f>ORÇ!D35</f>
        <v>Infra-estrutura</v>
      </c>
      <c r="C26" s="74"/>
      <c r="D26" s="74"/>
      <c r="E26" s="74"/>
      <c r="F26" s="74"/>
      <c r="G26" s="74"/>
      <c r="H26" s="74"/>
      <c r="I26" s="74"/>
      <c r="J26" s="74"/>
      <c r="K26" s="72"/>
    </row>
    <row r="27" spans="1:16" x14ac:dyDescent="0.2">
      <c r="A27" s="1384" t="str">
        <f>ORÇ!A36</f>
        <v>4.2.1</v>
      </c>
      <c r="B27" s="1874" t="str">
        <f>ORÇ!D36</f>
        <v>LASTRO DE CONCRETO MAGRO, APLICADO EM BLOCOS DE COROAMENTO OU SAPATAS. AF_08/2017</v>
      </c>
      <c r="C27" s="1874"/>
      <c r="D27" s="1874"/>
      <c r="E27" s="1874"/>
      <c r="F27" s="1874"/>
      <c r="G27" s="1874"/>
      <c r="H27" s="1874"/>
      <c r="I27" s="1874"/>
      <c r="J27" s="1874"/>
      <c r="K27" s="1874"/>
    </row>
    <row r="28" spans="1:16" x14ac:dyDescent="0.2">
      <c r="A28" s="596"/>
      <c r="B28" s="921"/>
      <c r="C28" s="921"/>
      <c r="D28" s="921"/>
      <c r="E28" s="921"/>
      <c r="F28" s="921"/>
      <c r="G28" s="921"/>
      <c r="H28" s="921"/>
      <c r="I28" s="921"/>
      <c r="J28" s="921"/>
      <c r="K28" s="921"/>
    </row>
    <row r="29" spans="1:16" s="662" customFormat="1" x14ac:dyDescent="0.2">
      <c r="A29" s="1384" t="s">
        <v>1477</v>
      </c>
      <c r="B29" s="927"/>
      <c r="C29" s="925"/>
      <c r="D29" s="925"/>
      <c r="E29" s="925"/>
      <c r="F29" s="925"/>
      <c r="G29" s="925"/>
      <c r="H29" s="925"/>
      <c r="I29" s="925"/>
      <c r="J29" s="925"/>
      <c r="K29" s="925"/>
    </row>
    <row r="30" spans="1:16" s="662" customFormat="1" x14ac:dyDescent="0.2">
      <c r="A30" s="926"/>
      <c r="B30" s="927"/>
      <c r="C30" s="925"/>
      <c r="D30" s="925"/>
      <c r="E30" s="925"/>
      <c r="F30" s="925"/>
      <c r="G30" s="925"/>
      <c r="H30" s="925"/>
      <c r="I30" s="925"/>
      <c r="J30" s="925"/>
      <c r="K30" s="925"/>
    </row>
    <row r="31" spans="1:16" s="662" customFormat="1" ht="25.5" x14ac:dyDescent="0.2">
      <c r="A31" s="926"/>
      <c r="B31" s="928" t="s">
        <v>849</v>
      </c>
      <c r="C31" s="929">
        <v>7.9</v>
      </c>
      <c r="D31" s="930" t="s">
        <v>2</v>
      </c>
      <c r="E31" s="925"/>
      <c r="F31" s="925"/>
      <c r="G31" s="925"/>
      <c r="H31" s="1166"/>
      <c r="I31" s="925"/>
      <c r="J31" s="925"/>
      <c r="K31" s="925"/>
    </row>
    <row r="32" spans="1:16" x14ac:dyDescent="0.2">
      <c r="A32" s="178"/>
      <c r="B32" s="178"/>
      <c r="C32" s="174"/>
      <c r="D32" s="174"/>
      <c r="E32" s="174"/>
      <c r="F32" s="78"/>
      <c r="G32" s="78"/>
      <c r="H32" s="79"/>
      <c r="I32" s="78"/>
      <c r="J32" s="78"/>
      <c r="K32" s="78"/>
    </row>
    <row r="33" spans="1:11" ht="24" customHeight="1" x14ac:dyDescent="0.2">
      <c r="A33" s="75" t="str">
        <f>ORÇ!A37</f>
        <v>4.2.2</v>
      </c>
      <c r="B33" s="1874" t="str">
        <f>ORÇ!D37</f>
        <v>FABRICAÇÃO, MONTAGEM E DESMONTAGEM DE FÔRMA PARA VIGA BALDRAME, EM MADEIRA SERRADA, E=25 MM, 4 UTILIZAÇÕES. AF_06/2017</v>
      </c>
      <c r="C33" s="1874"/>
      <c r="D33" s="1874"/>
      <c r="E33" s="1874"/>
      <c r="F33" s="1874"/>
      <c r="G33" s="1874"/>
      <c r="H33" s="1874"/>
      <c r="I33" s="1874"/>
      <c r="J33" s="1874"/>
      <c r="K33" s="1874"/>
    </row>
    <row r="34" spans="1:11" x14ac:dyDescent="0.2">
      <c r="A34" s="178"/>
      <c r="B34" s="348"/>
      <c r="C34" s="174"/>
      <c r="D34" s="174"/>
      <c r="E34" s="174"/>
      <c r="F34" s="78"/>
      <c r="G34" s="78"/>
      <c r="H34" s="78"/>
      <c r="I34" s="78"/>
      <c r="J34" s="78"/>
      <c r="K34" s="78"/>
    </row>
    <row r="35" spans="1:11" x14ac:dyDescent="0.2">
      <c r="A35" s="1384" t="s">
        <v>1477</v>
      </c>
      <c r="B35" s="79"/>
      <c r="C35" s="384"/>
      <c r="D35" s="179"/>
      <c r="E35" s="174"/>
      <c r="F35" s="176"/>
      <c r="G35" s="53"/>
      <c r="H35" s="79"/>
      <c r="I35" s="78"/>
      <c r="J35" s="78"/>
      <c r="K35" s="78"/>
    </row>
    <row r="36" spans="1:11" x14ac:dyDescent="0.2">
      <c r="A36" s="178"/>
      <c r="B36" s="79"/>
      <c r="C36" s="384"/>
      <c r="D36" s="179"/>
      <c r="E36" s="250"/>
      <c r="F36" s="176"/>
      <c r="G36" s="53"/>
      <c r="H36" s="79"/>
      <c r="I36" s="78"/>
      <c r="J36" s="78"/>
      <c r="K36" s="78"/>
    </row>
    <row r="37" spans="1:11" x14ac:dyDescent="0.2">
      <c r="B37" s="931" t="s">
        <v>850</v>
      </c>
      <c r="C37" s="932">
        <v>1579</v>
      </c>
      <c r="D37" s="933" t="s">
        <v>6</v>
      </c>
      <c r="E37" s="72"/>
      <c r="F37" s="72"/>
      <c r="G37" s="78"/>
      <c r="H37" s="78"/>
      <c r="I37" s="78"/>
      <c r="J37" s="78"/>
      <c r="K37" s="78"/>
    </row>
    <row r="38" spans="1:11" x14ac:dyDescent="0.2">
      <c r="A38" s="34"/>
      <c r="B38" s="78"/>
      <c r="C38" s="78"/>
      <c r="D38" s="78"/>
      <c r="E38" s="78"/>
      <c r="F38" s="78"/>
      <c r="G38" s="78"/>
      <c r="H38" s="78"/>
      <c r="I38" s="78"/>
      <c r="J38" s="78"/>
      <c r="K38" s="78"/>
    </row>
    <row r="39" spans="1:11" ht="30.75" customHeight="1" x14ac:dyDescent="0.2">
      <c r="A39" s="924" t="str">
        <f>ORÇ!A38</f>
        <v>4.2.3</v>
      </c>
      <c r="B39" s="1887" t="str">
        <f>ORÇ!D38</f>
        <v>Armação p/ concreto</v>
      </c>
      <c r="C39" s="1887"/>
      <c r="D39" s="1887"/>
      <c r="E39" s="1887"/>
      <c r="F39" s="1887"/>
      <c r="G39" s="1887"/>
      <c r="H39" s="1887"/>
      <c r="I39" s="1887"/>
      <c r="J39" s="1887"/>
      <c r="K39" s="424"/>
    </row>
    <row r="40" spans="1:11" x14ac:dyDescent="0.2">
      <c r="A40" s="949" t="s">
        <v>866</v>
      </c>
      <c r="B40" s="937"/>
      <c r="C40" s="937"/>
      <c r="D40" s="937"/>
      <c r="E40" s="937"/>
      <c r="F40" s="937"/>
      <c r="G40" s="937"/>
      <c r="H40" s="424"/>
      <c r="I40" s="424"/>
      <c r="J40" s="424"/>
      <c r="K40" s="424"/>
    </row>
    <row r="41" spans="1:11" x14ac:dyDescent="0.2">
      <c r="A41" s="122"/>
      <c r="B41" s="158"/>
      <c r="C41" s="157"/>
      <c r="D41" s="157"/>
      <c r="E41" s="157"/>
      <c r="F41" s="78"/>
      <c r="G41" s="78"/>
      <c r="H41" s="78"/>
      <c r="I41" s="78"/>
      <c r="J41" s="78"/>
      <c r="K41" s="78"/>
    </row>
    <row r="42" spans="1:11" x14ac:dyDescent="0.2">
      <c r="A42" s="122"/>
      <c r="B42" s="321" t="s">
        <v>863</v>
      </c>
      <c r="C42" s="168">
        <v>3947.5</v>
      </c>
      <c r="D42" s="173" t="s">
        <v>73</v>
      </c>
      <c r="E42" s="157"/>
      <c r="F42" s="78"/>
      <c r="G42" s="78"/>
      <c r="H42" s="78"/>
      <c r="I42" s="78"/>
      <c r="J42" s="78"/>
      <c r="K42" s="78"/>
    </row>
    <row r="43" spans="1:11" x14ac:dyDescent="0.2">
      <c r="A43" s="122"/>
      <c r="B43" s="158"/>
      <c r="C43" s="157"/>
      <c r="D43" s="157"/>
      <c r="E43" s="157"/>
      <c r="F43" s="78"/>
      <c r="G43" s="78"/>
      <c r="H43" s="78"/>
      <c r="I43" s="78"/>
      <c r="J43" s="78"/>
      <c r="K43" s="78"/>
    </row>
    <row r="44" spans="1:11" x14ac:dyDescent="0.2">
      <c r="A44" s="75" t="str">
        <f>ORÇ!A39</f>
        <v>4.2.4</v>
      </c>
      <c r="B44" s="1874" t="str">
        <f>ORÇ!D39</f>
        <v>CONCRETO FCK = 25MPA, TRAÇO 1:2,3:2,7 (EM MASSA SECA DE CIMENTO/ AREIA MÉDIA/ BRITA 1) - PREPARO MECÂNICO COM BETONEIRA 600 L. AF_05/2021</v>
      </c>
      <c r="C44" s="1874"/>
      <c r="D44" s="1874"/>
      <c r="E44" s="1874"/>
      <c r="F44" s="1874"/>
      <c r="G44" s="1874"/>
      <c r="H44" s="1874"/>
      <c r="I44" s="1874"/>
      <c r="J44" s="1874"/>
      <c r="K44" s="1874"/>
    </row>
    <row r="45" spans="1:11" x14ac:dyDescent="0.2">
      <c r="A45" s="180"/>
      <c r="B45" s="1874"/>
      <c r="C45" s="1874"/>
      <c r="D45" s="1874"/>
      <c r="E45" s="1874"/>
      <c r="F45" s="1874"/>
      <c r="G45" s="1874"/>
      <c r="H45" s="1874"/>
      <c r="I45" s="1874"/>
      <c r="J45" s="1874"/>
      <c r="K45" s="1874"/>
    </row>
    <row r="46" spans="1:11" x14ac:dyDescent="0.2">
      <c r="A46" s="75" t="str">
        <f>ORÇ!A40</f>
        <v>4.2.5</v>
      </c>
      <c r="B46" s="1874" t="str">
        <f>ORÇ!D40</f>
        <v>LANÇAMENTO COM USO DE BOMBA, ADENSAMENTO E ACABAMENTO DE CONCRETO EM ESTRUTURAS. AF_02/2022</v>
      </c>
      <c r="C46" s="1874"/>
      <c r="D46" s="1874"/>
      <c r="E46" s="1874"/>
      <c r="F46" s="1874"/>
      <c r="G46" s="1874"/>
      <c r="H46" s="1874"/>
      <c r="I46" s="1874"/>
      <c r="J46" s="1874"/>
      <c r="K46" s="1874"/>
    </row>
    <row r="47" spans="1:11" x14ac:dyDescent="0.2">
      <c r="A47" s="596"/>
      <c r="B47" s="943"/>
      <c r="C47" s="943"/>
      <c r="D47" s="943"/>
      <c r="E47" s="943"/>
      <c r="F47" s="943"/>
      <c r="G47" s="943"/>
      <c r="H47" s="943"/>
      <c r="I47" s="943"/>
      <c r="J47" s="943"/>
      <c r="K47" s="943"/>
    </row>
    <row r="48" spans="1:11" x14ac:dyDescent="0.2">
      <c r="A48" s="1384" t="s">
        <v>1477</v>
      </c>
      <c r="B48" s="1381"/>
      <c r="C48" s="1381"/>
      <c r="D48" s="1381"/>
      <c r="E48" s="1381"/>
      <c r="F48" s="1381"/>
      <c r="G48" s="1381"/>
      <c r="H48" s="1381"/>
      <c r="I48" s="1381"/>
      <c r="J48" s="1381"/>
      <c r="K48" s="1381"/>
    </row>
    <row r="49" spans="1:11" x14ac:dyDescent="0.2">
      <c r="A49" s="118"/>
      <c r="B49" s="115"/>
      <c r="C49" s="119"/>
      <c r="D49" s="26"/>
      <c r="E49" s="116"/>
      <c r="F49" s="115"/>
      <c r="G49" s="119"/>
      <c r="H49" s="27"/>
      <c r="I49" s="119"/>
      <c r="J49" s="115"/>
      <c r="K49" s="79"/>
    </row>
    <row r="50" spans="1:11" x14ac:dyDescent="0.2">
      <c r="A50" s="75"/>
      <c r="B50" s="934" t="s">
        <v>851</v>
      </c>
      <c r="C50" s="935">
        <v>78.95</v>
      </c>
      <c r="D50" s="936" t="s">
        <v>2</v>
      </c>
      <c r="E50" s="37"/>
      <c r="F50" s="72"/>
      <c r="G50" s="26"/>
      <c r="H50" s="40"/>
      <c r="I50" s="339"/>
      <c r="J50" s="73"/>
      <c r="K50" s="73"/>
    </row>
    <row r="51" spans="1:11" x14ac:dyDescent="0.2">
      <c r="A51" s="34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 spans="1:11" x14ac:dyDescent="0.2">
      <c r="A52" s="596"/>
      <c r="B52" s="424"/>
      <c r="C52" s="424"/>
      <c r="D52" s="424"/>
      <c r="E52" s="424"/>
      <c r="F52" s="424"/>
      <c r="G52" s="424"/>
      <c r="H52" s="424"/>
      <c r="I52" s="424"/>
      <c r="J52" s="424"/>
      <c r="K52" s="424"/>
    </row>
    <row r="53" spans="1:11" x14ac:dyDescent="0.2">
      <c r="A53" s="596" t="str">
        <f>ORÇ!A41</f>
        <v>4.2.6</v>
      </c>
      <c r="B53" s="1874" t="str">
        <f>ORÇ!D41</f>
        <v>IMPERMEABILIZAÇÃO DE SUPERFÍCIE COM EMULSÃO ASFÁLTICA, 2 DEMÃOS AF_06/2018</v>
      </c>
      <c r="C53" s="1874"/>
      <c r="D53" s="1874"/>
      <c r="E53" s="1874"/>
      <c r="F53" s="1874"/>
      <c r="G53" s="1874"/>
      <c r="H53" s="1874"/>
      <c r="I53" s="1874"/>
      <c r="J53" s="1874"/>
      <c r="K53" s="1874"/>
    </row>
    <row r="54" spans="1:11" x14ac:dyDescent="0.2">
      <c r="A54" s="596"/>
      <c r="B54" s="424"/>
      <c r="C54" s="424"/>
      <c r="D54" s="424"/>
      <c r="E54" s="424"/>
      <c r="F54" s="424"/>
      <c r="G54" s="424"/>
      <c r="H54" s="424"/>
      <c r="I54" s="424"/>
      <c r="J54" s="424"/>
      <c r="K54" s="424"/>
    </row>
    <row r="55" spans="1:11" x14ac:dyDescent="0.2">
      <c r="A55" s="1384" t="s">
        <v>1477</v>
      </c>
      <c r="B55" s="79"/>
      <c r="C55" s="922"/>
      <c r="D55" s="923"/>
      <c r="E55" s="922"/>
      <c r="F55" s="399"/>
      <c r="G55" s="53"/>
      <c r="H55" s="79"/>
      <c r="I55" s="78"/>
      <c r="J55" s="78"/>
      <c r="K55" s="78"/>
    </row>
    <row r="56" spans="1:11" x14ac:dyDescent="0.2">
      <c r="A56" s="596"/>
      <c r="B56" s="79"/>
      <c r="C56" s="922"/>
      <c r="D56" s="923"/>
      <c r="E56" s="922"/>
      <c r="F56" s="399"/>
      <c r="G56" s="53"/>
      <c r="H56" s="79"/>
      <c r="I56" s="78"/>
      <c r="J56" s="78"/>
      <c r="K56" s="78"/>
    </row>
    <row r="57" spans="1:11" ht="38.25" x14ac:dyDescent="0.2">
      <c r="B57" s="931" t="s">
        <v>852</v>
      </c>
      <c r="C57" s="1495">
        <f>C37</f>
        <v>1579</v>
      </c>
      <c r="D57" s="1495" t="s">
        <v>6</v>
      </c>
      <c r="E57" s="922"/>
      <c r="F57" s="922"/>
      <c r="G57" s="78"/>
      <c r="H57" s="78"/>
      <c r="I57" s="78"/>
      <c r="J57" s="78"/>
      <c r="K57" s="78"/>
    </row>
    <row r="58" spans="1:11" x14ac:dyDescent="0.2">
      <c r="A58" s="596"/>
      <c r="B58" s="424"/>
      <c r="C58" s="424"/>
      <c r="D58" s="424"/>
      <c r="E58" s="424"/>
      <c r="F58" s="424"/>
      <c r="G58" s="424"/>
      <c r="H58" s="424"/>
      <c r="I58" s="424"/>
      <c r="J58" s="424"/>
      <c r="K58" s="424"/>
    </row>
    <row r="59" spans="1:11" x14ac:dyDescent="0.2">
      <c r="A59" s="596"/>
      <c r="B59" s="424"/>
      <c r="C59" s="424"/>
      <c r="D59" s="424"/>
      <c r="E59" s="424"/>
      <c r="F59" s="424"/>
      <c r="G59" s="424"/>
      <c r="H59" s="424"/>
      <c r="I59" s="424"/>
      <c r="J59" s="424"/>
      <c r="K59" s="424"/>
    </row>
    <row r="60" spans="1:11" x14ac:dyDescent="0.2">
      <c r="A60" s="75" t="str">
        <f>ORÇ!A42</f>
        <v>4.3</v>
      </c>
      <c r="B60" s="75" t="str">
        <f>ORÇ!D42</f>
        <v>Superestrutura</v>
      </c>
      <c r="C60" s="72"/>
      <c r="D60" s="72"/>
      <c r="E60" s="72"/>
      <c r="F60" s="78"/>
      <c r="G60" s="78"/>
      <c r="H60" s="78"/>
      <c r="I60" s="78"/>
      <c r="J60" s="78"/>
      <c r="K60" s="78"/>
    </row>
    <row r="61" spans="1:11" ht="27" customHeight="1" x14ac:dyDescent="0.2">
      <c r="A61" s="596" t="str">
        <f>ORÇ!A43</f>
        <v>4.3.1</v>
      </c>
      <c r="B61" s="1874" t="str">
        <f>ORÇ!D43</f>
        <v>MONTAGEM E DESMONTAGEM DE FÔRMA DE PILARES RETANGULARES E ESTRUTURAS SIMILARES, PÉ-DIREITO SIMPLES, EM CHAPA DE MADEIRA COMPENSADA PLASTIFICADA, 18 UTILIZAÇÕES. AF_09/2020</v>
      </c>
      <c r="C61" s="1874"/>
      <c r="D61" s="1874"/>
      <c r="E61" s="1874"/>
      <c r="F61" s="1874"/>
      <c r="G61" s="1874"/>
      <c r="H61" s="1874"/>
      <c r="I61" s="1874"/>
      <c r="J61" s="1874"/>
      <c r="K61" s="1874"/>
    </row>
    <row r="62" spans="1:11" x14ac:dyDescent="0.2">
      <c r="A62" s="348"/>
      <c r="B62" s="348"/>
      <c r="C62" s="375"/>
      <c r="D62" s="375"/>
      <c r="E62" s="375"/>
      <c r="F62" s="375"/>
      <c r="G62" s="375"/>
      <c r="H62" s="375"/>
      <c r="I62" s="375"/>
      <c r="J62" s="375"/>
      <c r="K62" s="375"/>
    </row>
    <row r="63" spans="1:11" x14ac:dyDescent="0.2">
      <c r="A63" s="1384" t="s">
        <v>1477</v>
      </c>
      <c r="B63" s="1384"/>
      <c r="C63" s="1381"/>
      <c r="D63" s="1381"/>
      <c r="E63" s="1381"/>
      <c r="F63" s="1381"/>
      <c r="G63" s="1381"/>
      <c r="H63" s="1381"/>
      <c r="I63" s="1381"/>
      <c r="J63" s="1381"/>
      <c r="K63" s="1381"/>
    </row>
    <row r="64" spans="1:11" x14ac:dyDescent="0.2">
      <c r="A64" s="596"/>
      <c r="B64" s="596"/>
      <c r="C64" s="941"/>
      <c r="D64" s="941"/>
      <c r="E64" s="941"/>
      <c r="F64" s="941"/>
      <c r="G64" s="941"/>
      <c r="H64" s="941"/>
      <c r="I64" s="941"/>
      <c r="J64" s="941"/>
      <c r="K64" s="941"/>
    </row>
    <row r="65" spans="1:13" s="662" customFormat="1" ht="25.5" x14ac:dyDescent="0.2">
      <c r="B65" s="938" t="s">
        <v>862</v>
      </c>
      <c r="C65" s="939">
        <v>1579</v>
      </c>
      <c r="D65" s="940" t="s">
        <v>6</v>
      </c>
      <c r="E65" s="942"/>
      <c r="F65" s="942"/>
      <c r="G65" s="942"/>
      <c r="H65" s="942"/>
      <c r="I65" s="942"/>
      <c r="J65" s="942"/>
      <c r="K65" s="942"/>
    </row>
    <row r="66" spans="1:13" x14ac:dyDescent="0.2">
      <c r="A66" s="596"/>
      <c r="B66" s="596"/>
      <c r="C66" s="941"/>
      <c r="D66" s="941"/>
      <c r="E66" s="941"/>
      <c r="F66" s="941"/>
      <c r="G66" s="941"/>
      <c r="H66" s="941"/>
      <c r="I66" s="941"/>
      <c r="J66" s="941"/>
      <c r="K66" s="941"/>
    </row>
    <row r="67" spans="1:13" x14ac:dyDescent="0.2">
      <c r="A67" s="949" t="str">
        <f>ORÇ!A44</f>
        <v>4.3.2</v>
      </c>
      <c r="B67" s="1874" t="str">
        <f>ORÇ!D44</f>
        <v>Armação p/ concreto</v>
      </c>
      <c r="C67" s="1874"/>
      <c r="D67" s="1874"/>
      <c r="E67" s="1874"/>
      <c r="F67" s="1874"/>
      <c r="G67" s="1874"/>
      <c r="H67" s="1874"/>
      <c r="I67" s="1874"/>
      <c r="J67" s="1874"/>
      <c r="K67" s="1874"/>
    </row>
    <row r="68" spans="1:13" x14ac:dyDescent="0.2">
      <c r="A68" s="949"/>
      <c r="B68" s="1381"/>
      <c r="C68" s="1381"/>
      <c r="D68" s="1381"/>
      <c r="E68" s="1381"/>
      <c r="F68" s="1381"/>
      <c r="G68" s="1381"/>
      <c r="H68" s="1381"/>
      <c r="I68" s="1381"/>
      <c r="J68" s="1381"/>
      <c r="K68" s="1381"/>
    </row>
    <row r="69" spans="1:13" x14ac:dyDescent="0.2">
      <c r="A69" s="1384" t="s">
        <v>1477</v>
      </c>
      <c r="B69" s="1381"/>
      <c r="C69" s="1381"/>
      <c r="D69" s="1381"/>
      <c r="E69" s="1381"/>
      <c r="F69" s="1381"/>
      <c r="G69" s="1381"/>
      <c r="H69" s="1381"/>
      <c r="I69" s="1381"/>
      <c r="J69" s="1381"/>
      <c r="K69" s="1381"/>
    </row>
    <row r="70" spans="1:13" x14ac:dyDescent="0.2">
      <c r="A70" s="949"/>
      <c r="B70" s="943"/>
      <c r="C70" s="943"/>
      <c r="D70" s="943"/>
      <c r="E70" s="943"/>
      <c r="F70" s="943"/>
      <c r="G70" s="943"/>
      <c r="H70" s="943"/>
      <c r="I70" s="943"/>
      <c r="J70" s="943"/>
      <c r="K70" s="943"/>
    </row>
    <row r="71" spans="1:13" x14ac:dyDescent="0.2">
      <c r="A71" s="949"/>
      <c r="B71" s="938" t="s">
        <v>863</v>
      </c>
      <c r="C71" s="939">
        <v>4737</v>
      </c>
      <c r="D71" s="940" t="s">
        <v>73</v>
      </c>
      <c r="E71" s="941"/>
      <c r="F71" s="941"/>
      <c r="G71" s="941"/>
      <c r="H71" s="941"/>
      <c r="I71" s="941"/>
      <c r="J71" s="941"/>
      <c r="K71" s="941"/>
    </row>
    <row r="72" spans="1:13" s="953" customFormat="1" x14ac:dyDescent="0.2">
      <c r="A72" s="950"/>
      <c r="B72" s="951"/>
      <c r="C72" s="884"/>
      <c r="D72" s="706"/>
      <c r="E72" s="952"/>
      <c r="F72" s="952"/>
      <c r="G72" s="952"/>
      <c r="H72" s="952"/>
      <c r="I72" s="952"/>
      <c r="J72" s="952"/>
      <c r="K72" s="952"/>
    </row>
    <row r="73" spans="1:13" ht="29.25" customHeight="1" x14ac:dyDescent="0.2">
      <c r="A73" s="949" t="str">
        <f>ORÇ!A45</f>
        <v>4.3.3</v>
      </c>
      <c r="B73" s="1874" t="str">
        <f>ORÇ!D45</f>
        <v>CONCRETO FCK = 25MPA, TRAÇO 1:2,3:2,7 (EM MASSA SECA DE CIMENTO/ AREIA MÉDIA/ BRITA 1) - PREPARO MECÂNICO COM BETONEIRA 600 L. AF_05/2021</v>
      </c>
      <c r="C73" s="1874"/>
      <c r="D73" s="1874"/>
      <c r="E73" s="1874"/>
      <c r="F73" s="1874"/>
      <c r="G73" s="1874"/>
      <c r="H73" s="1874"/>
      <c r="I73" s="1874"/>
      <c r="J73" s="1874"/>
      <c r="K73" s="1874"/>
    </row>
    <row r="74" spans="1:13" x14ac:dyDescent="0.2">
      <c r="A74" s="949" t="str">
        <f>ORÇ!A46</f>
        <v>4.3.4</v>
      </c>
      <c r="B74" s="1874" t="str">
        <f>ORÇ!D46</f>
        <v>LANÇAMENTO COM USO DE BOMBA, ADENSAMENTO E ACABAMENTO DE CONCRETO EM ESTRUTURAS. AF_02/2022</v>
      </c>
      <c r="C74" s="1874"/>
      <c r="D74" s="1874"/>
      <c r="E74" s="1874"/>
      <c r="F74" s="1874"/>
      <c r="G74" s="1874"/>
      <c r="H74" s="1874"/>
      <c r="I74" s="1874"/>
      <c r="J74" s="1874"/>
      <c r="K74" s="1874"/>
    </row>
    <row r="75" spans="1:13" x14ac:dyDescent="0.2">
      <c r="A75" s="949"/>
      <c r="B75" s="943"/>
      <c r="C75" s="943"/>
      <c r="D75" s="943"/>
      <c r="E75" s="943"/>
      <c r="F75" s="943"/>
      <c r="G75" s="943"/>
      <c r="H75" s="943"/>
      <c r="I75" s="943"/>
      <c r="J75" s="943"/>
      <c r="K75" s="943"/>
    </row>
    <row r="76" spans="1:13" x14ac:dyDescent="0.2">
      <c r="A76" s="1384" t="s">
        <v>1477</v>
      </c>
      <c r="B76" s="943"/>
      <c r="C76" s="943"/>
      <c r="D76" s="943"/>
      <c r="E76" s="943"/>
      <c r="F76" s="943"/>
      <c r="G76" s="943"/>
      <c r="H76" s="943"/>
      <c r="I76" s="943"/>
      <c r="J76" s="943"/>
      <c r="K76" s="943"/>
    </row>
    <row r="77" spans="1:13" x14ac:dyDescent="0.2">
      <c r="A77" s="947"/>
      <c r="B77" s="943"/>
      <c r="C77" s="943"/>
      <c r="D77" s="943"/>
      <c r="E77" s="943"/>
      <c r="F77" s="943"/>
      <c r="G77" s="943"/>
      <c r="H77" s="943"/>
      <c r="I77" s="943"/>
      <c r="J77" s="943"/>
      <c r="K77" s="943"/>
    </row>
    <row r="78" spans="1:13" ht="25.5" x14ac:dyDescent="0.2">
      <c r="A78" s="947"/>
      <c r="B78" s="938" t="s">
        <v>864</v>
      </c>
      <c r="C78" s="939">
        <v>78.95</v>
      </c>
      <c r="D78" s="940" t="s">
        <v>2</v>
      </c>
      <c r="E78" s="943"/>
      <c r="F78" s="943"/>
      <c r="G78" s="943"/>
      <c r="H78" s="943"/>
      <c r="I78" s="943"/>
      <c r="J78" s="943"/>
      <c r="K78" s="943"/>
      <c r="M78" s="1494"/>
    </row>
    <row r="79" spans="1:13" x14ac:dyDescent="0.2">
      <c r="A79" s="949"/>
      <c r="B79" s="941"/>
      <c r="C79" s="941"/>
      <c r="D79" s="941"/>
      <c r="E79" s="941"/>
      <c r="F79" s="941"/>
      <c r="G79" s="941"/>
      <c r="H79" s="941"/>
      <c r="I79" s="941"/>
      <c r="J79" s="941"/>
      <c r="K79" s="941"/>
    </row>
    <row r="80" spans="1:13" ht="14.25" customHeight="1" x14ac:dyDescent="0.2">
      <c r="A80" s="949" t="str">
        <f>ORÇ!A47</f>
        <v>4.3.5</v>
      </c>
      <c r="B80" s="1874" t="str">
        <f>ORÇ!D47</f>
        <v>Cimbramento de madeira p/ h até 3,00 m</v>
      </c>
      <c r="C80" s="1874"/>
      <c r="D80" s="1874"/>
      <c r="E80" s="1874"/>
      <c r="F80" s="1874"/>
      <c r="G80" s="1874"/>
      <c r="H80" s="1874"/>
      <c r="I80" s="1874"/>
      <c r="J80" s="1874"/>
      <c r="K80" s="1874"/>
    </row>
    <row r="81" spans="1:13" ht="14.25" customHeight="1" x14ac:dyDescent="0.2">
      <c r="A81" s="949"/>
      <c r="B81" s="943"/>
      <c r="C81" s="943"/>
      <c r="D81" s="943"/>
      <c r="E81" s="943"/>
      <c r="F81" s="943"/>
      <c r="G81" s="943"/>
      <c r="H81" s="943"/>
      <c r="I81" s="943"/>
      <c r="J81" s="943"/>
      <c r="K81" s="943"/>
    </row>
    <row r="82" spans="1:13" x14ac:dyDescent="0.2">
      <c r="A82" s="1384" t="s">
        <v>1477</v>
      </c>
      <c r="B82" s="943"/>
      <c r="C82" s="943"/>
      <c r="D82" s="943"/>
      <c r="E82" s="943"/>
      <c r="F82" s="943"/>
      <c r="G82" s="943"/>
      <c r="H82" s="943"/>
      <c r="I82" s="944"/>
      <c r="J82" s="945"/>
      <c r="K82" s="944"/>
      <c r="L82" s="399"/>
      <c r="M82" s="53"/>
    </row>
    <row r="83" spans="1:13" x14ac:dyDescent="0.2">
      <c r="A83" s="596"/>
      <c r="B83" s="943"/>
      <c r="C83" s="943"/>
      <c r="D83" s="943"/>
      <c r="E83" s="943"/>
      <c r="F83" s="943"/>
      <c r="G83" s="943"/>
      <c r="H83" s="943"/>
      <c r="I83" s="944"/>
      <c r="J83" s="945"/>
      <c r="K83" s="944"/>
      <c r="L83" s="399"/>
      <c r="M83" s="53"/>
    </row>
    <row r="84" spans="1:13" ht="25.5" x14ac:dyDescent="0.2">
      <c r="A84" s="596"/>
      <c r="B84" s="938" t="s">
        <v>1490</v>
      </c>
      <c r="C84" s="939">
        <v>789.5</v>
      </c>
      <c r="D84" s="940" t="s">
        <v>6</v>
      </c>
      <c r="E84" s="943"/>
      <c r="F84" s="943"/>
      <c r="G84" s="943"/>
      <c r="H84" s="943"/>
      <c r="I84" s="944"/>
      <c r="J84" s="945"/>
      <c r="K84" s="944"/>
      <c r="L84" s="399"/>
      <c r="M84" s="53"/>
    </row>
    <row r="85" spans="1:13" x14ac:dyDescent="0.2">
      <c r="A85" s="596"/>
      <c r="B85" s="943"/>
      <c r="C85" s="943"/>
      <c r="D85" s="943"/>
      <c r="E85" s="943"/>
      <c r="F85" s="943"/>
      <c r="G85" s="943"/>
      <c r="H85" s="943"/>
      <c r="I85" s="944"/>
      <c r="J85" s="945"/>
      <c r="K85" s="944"/>
      <c r="L85" s="399"/>
      <c r="M85" s="53"/>
    </row>
  </sheetData>
  <mergeCells count="27">
    <mergeCell ref="G2:H2"/>
    <mergeCell ref="I2:K2"/>
    <mergeCell ref="B3:K3"/>
    <mergeCell ref="B74:K74"/>
    <mergeCell ref="B27:K27"/>
    <mergeCell ref="B39:J39"/>
    <mergeCell ref="B53:K53"/>
    <mergeCell ref="B46:K46"/>
    <mergeCell ref="B44:K45"/>
    <mergeCell ref="B33:K33"/>
    <mergeCell ref="B61:K61"/>
    <mergeCell ref="B80:K80"/>
    <mergeCell ref="B73:K73"/>
    <mergeCell ref="B67:K67"/>
    <mergeCell ref="A1:K1"/>
    <mergeCell ref="A9:K9"/>
    <mergeCell ref="A10:K10"/>
    <mergeCell ref="A11:K11"/>
    <mergeCell ref="B4:K4"/>
    <mergeCell ref="B5:D5"/>
    <mergeCell ref="E5:F6"/>
    <mergeCell ref="G5:K6"/>
    <mergeCell ref="A6:A7"/>
    <mergeCell ref="B6:D7"/>
    <mergeCell ref="E7:F7"/>
    <mergeCell ref="G7:K7"/>
    <mergeCell ref="B2:F2"/>
  </mergeCells>
  <phoneticPr fontId="4" type="noConversion"/>
  <pageMargins left="0.511811024" right="0.511811024" top="0.78740157499999996" bottom="0.78740157499999996" header="0.31496062000000002" footer="0.31496062000000002"/>
  <pageSetup paperSize="9" scale="72" fitToHeight="0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26</vt:i4>
      </vt:variant>
    </vt:vector>
  </HeadingPairs>
  <TitlesOfParts>
    <vt:vector size="52" baseType="lpstr">
      <vt:lpstr>CFF</vt:lpstr>
      <vt:lpstr>BDI</vt:lpstr>
      <vt:lpstr>ENC.SOC.</vt:lpstr>
      <vt:lpstr>COMPOSIÇÕES</vt:lpstr>
      <vt:lpstr>ORÇ</vt:lpstr>
      <vt:lpstr>ADM. LOC. 1</vt:lpstr>
      <vt:lpstr>SER.PREL.2</vt:lpstr>
      <vt:lpstr>MOV. TER.3</vt:lpstr>
      <vt:lpstr>EST.4</vt:lpstr>
      <vt:lpstr>COB. 5</vt:lpstr>
      <vt:lpstr>PAV. 6</vt:lpstr>
      <vt:lpstr>PAR. 7</vt:lpstr>
      <vt:lpstr>REV. DE PAR. 8</vt:lpstr>
      <vt:lpstr>ESQ. 9</vt:lpstr>
      <vt:lpstr>PINT. 10</vt:lpstr>
      <vt:lpstr>ELE. 11</vt:lpstr>
      <vt:lpstr>INS. LÓG. 12</vt:lpstr>
      <vt:lpstr>INS. AR. 13</vt:lpstr>
      <vt:lpstr>INC. 14</vt:lpstr>
      <vt:lpstr>INS. HID. 15</vt:lpstr>
      <vt:lpstr>LOUÇ. ACESS. E META. 16</vt:lpstr>
      <vt:lpstr>MURO 17</vt:lpstr>
      <vt:lpstr>SERV. DIV. 18</vt:lpstr>
      <vt:lpstr>CAS.BOMB.CIST.19</vt:lpstr>
      <vt:lpstr>FAC. 20</vt:lpstr>
      <vt:lpstr>SERV. FINAIS 21</vt:lpstr>
      <vt:lpstr>'ADM. LOC. 1'!Area_de_impressao</vt:lpstr>
      <vt:lpstr>BDI!Area_de_impressao</vt:lpstr>
      <vt:lpstr>CAS.BOMB.CIST.19!Area_de_impressao</vt:lpstr>
      <vt:lpstr>CFF!Area_de_impressao</vt:lpstr>
      <vt:lpstr>'COB. 5'!Area_de_impressao</vt:lpstr>
      <vt:lpstr>COMPOSIÇÕES!Area_de_impressao</vt:lpstr>
      <vt:lpstr>'ELE. 11'!Area_de_impressao</vt:lpstr>
      <vt:lpstr>'ESQ. 9'!Area_de_impressao</vt:lpstr>
      <vt:lpstr>EST.4!Area_de_impressao</vt:lpstr>
      <vt:lpstr>'FAC. 20'!Area_de_impressao</vt:lpstr>
      <vt:lpstr>'INC. 14'!Area_de_impressao</vt:lpstr>
      <vt:lpstr>'INS. AR. 13'!Area_de_impressao</vt:lpstr>
      <vt:lpstr>'INS. HID. 15'!Area_de_impressao</vt:lpstr>
      <vt:lpstr>'INS. LÓG. 12'!Area_de_impressao</vt:lpstr>
      <vt:lpstr>'LOUÇ. ACESS. E META. 16'!Area_de_impressao</vt:lpstr>
      <vt:lpstr>'MOV. TER.3'!Area_de_impressao</vt:lpstr>
      <vt:lpstr>'MURO 17'!Area_de_impressao</vt:lpstr>
      <vt:lpstr>ORÇ!Area_de_impressao</vt:lpstr>
      <vt:lpstr>'PAR. 7'!Area_de_impressao</vt:lpstr>
      <vt:lpstr>'PAV. 6'!Area_de_impressao</vt:lpstr>
      <vt:lpstr>'PINT. 10'!Area_de_impressao</vt:lpstr>
      <vt:lpstr>'REV. DE PAR. 8'!Area_de_impressao</vt:lpstr>
      <vt:lpstr>SER.PREL.2!Area_de_impressao</vt:lpstr>
      <vt:lpstr>'SERV. DIV. 18'!Area_de_impressao</vt:lpstr>
      <vt:lpstr>'SERV. FINAIS 21'!Area_de_impressao</vt:lpstr>
      <vt:lpstr>ORÇ!Titulos_de_impressao</vt:lpstr>
    </vt:vector>
  </TitlesOfParts>
  <Company>FNDE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BAPTISTA</cp:lastModifiedBy>
  <cp:lastPrinted>2022-06-29T12:56:41Z</cp:lastPrinted>
  <dcterms:created xsi:type="dcterms:W3CDTF">2009-07-02T17:29:30Z</dcterms:created>
  <dcterms:modified xsi:type="dcterms:W3CDTF">2022-06-30T12:56:51Z</dcterms:modified>
</cp:coreProperties>
</file>