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UCIANA-LICITA\Users\Luciana\Desktop\DOCUMENTOS LICITAÇÃO\03.EXERCICIO 2022\05. CONCORRÊNCIA PUBLICA\004_2022 PREDIO PREFEITURA\GEOBRAS\"/>
    </mc:Choice>
  </mc:AlternateContent>
  <bookViews>
    <workbookView xWindow="0" yWindow="0" windowWidth="2370" windowHeight="0"/>
  </bookViews>
  <sheets>
    <sheet name="Planilh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D5" i="1"/>
  <c r="J5" i="1"/>
  <c r="L5" i="1"/>
  <c r="B6" i="1"/>
  <c r="D6" i="1"/>
  <c r="B7" i="1"/>
  <c r="D7" i="1"/>
  <c r="B8" i="1"/>
  <c r="D8" i="1"/>
  <c r="J8" i="1"/>
  <c r="L8" i="1"/>
  <c r="B9" i="1"/>
  <c r="D9" i="1"/>
  <c r="L9" i="1"/>
  <c r="J10" i="1"/>
  <c r="L10" i="1"/>
  <c r="N864" i="1"/>
  <c r="N863" i="1"/>
  <c r="N862" i="1"/>
  <c r="N865" i="1" s="1"/>
  <c r="B859" i="1"/>
  <c r="N855" i="1"/>
  <c r="N854" i="1"/>
  <c r="N853" i="1"/>
  <c r="N852" i="1"/>
  <c r="N851" i="1"/>
  <c r="N850" i="1"/>
  <c r="N849" i="1"/>
  <c r="N848" i="1"/>
  <c r="N847" i="1"/>
  <c r="N846" i="1"/>
  <c r="N856" i="1" s="1"/>
  <c r="B843" i="1"/>
  <c r="P839" i="1"/>
  <c r="N839" i="1"/>
  <c r="N840" i="1" s="1"/>
  <c r="L839" i="1"/>
  <c r="B836" i="1"/>
  <c r="N830" i="1"/>
  <c r="L830" i="1"/>
  <c r="N829" i="1"/>
  <c r="L829" i="1"/>
  <c r="N828" i="1"/>
  <c r="L828" i="1"/>
  <c r="L827" i="1"/>
  <c r="L831" i="1" s="1"/>
  <c r="B824" i="1"/>
  <c r="P821" i="1"/>
  <c r="L820" i="1"/>
  <c r="N820" i="1" s="1"/>
  <c r="P819" i="1"/>
  <c r="L819" i="1"/>
  <c r="N819" i="1" s="1"/>
  <c r="N816" i="1"/>
  <c r="L816" i="1"/>
  <c r="P815" i="1"/>
  <c r="L815" i="1"/>
  <c r="N815" i="1" s="1"/>
  <c r="L814" i="1"/>
  <c r="N814" i="1" s="1"/>
  <c r="L813" i="1"/>
  <c r="N813" i="1" s="1"/>
  <c r="P812" i="1"/>
  <c r="L812" i="1"/>
  <c r="N812" i="1" s="1"/>
  <c r="N811" i="1"/>
  <c r="L811" i="1"/>
  <c r="L818" i="1" s="1"/>
  <c r="N818" i="1" s="1"/>
  <c r="N810" i="1"/>
  <c r="L810" i="1"/>
  <c r="B807" i="1"/>
  <c r="L803" i="1"/>
  <c r="N803" i="1" s="1"/>
  <c r="N802" i="1"/>
  <c r="L802" i="1"/>
  <c r="N801" i="1"/>
  <c r="N800" i="1"/>
  <c r="N799" i="1"/>
  <c r="B796" i="1"/>
  <c r="N792" i="1"/>
  <c r="N791" i="1"/>
  <c r="N790" i="1"/>
  <c r="N789" i="1"/>
  <c r="N788" i="1"/>
  <c r="N793" i="1" s="1"/>
  <c r="B785" i="1"/>
  <c r="N781" i="1"/>
  <c r="N780" i="1"/>
  <c r="N779" i="1"/>
  <c r="N778" i="1"/>
  <c r="N777" i="1"/>
  <c r="N782" i="1" s="1"/>
  <c r="B774" i="1"/>
  <c r="N770" i="1"/>
  <c r="N769" i="1"/>
  <c r="N768" i="1"/>
  <c r="N767" i="1"/>
  <c r="N771" i="1" s="1"/>
  <c r="N766" i="1"/>
  <c r="B763" i="1"/>
  <c r="N759" i="1"/>
  <c r="N758" i="1"/>
  <c r="N760" i="1" s="1"/>
  <c r="N757" i="1"/>
  <c r="B754" i="1"/>
  <c r="N751" i="1"/>
  <c r="N750" i="1"/>
  <c r="N749" i="1"/>
  <c r="N748" i="1"/>
  <c r="B745" i="1"/>
  <c r="N741" i="1"/>
  <c r="N740" i="1"/>
  <c r="N739" i="1"/>
  <c r="N742" i="1" s="1"/>
  <c r="B736" i="1"/>
  <c r="N732" i="1"/>
  <c r="N731" i="1"/>
  <c r="N733" i="1" s="1"/>
  <c r="N730" i="1"/>
  <c r="N729" i="1"/>
  <c r="B726" i="1"/>
  <c r="N723" i="1"/>
  <c r="N722" i="1"/>
  <c r="N721" i="1"/>
  <c r="N720" i="1"/>
  <c r="N719" i="1"/>
  <c r="N718" i="1"/>
  <c r="N717" i="1"/>
  <c r="B714" i="1"/>
  <c r="N711" i="1"/>
  <c r="N710" i="1"/>
  <c r="N709" i="1"/>
  <c r="N708" i="1"/>
  <c r="N707" i="1"/>
  <c r="N706" i="1"/>
  <c r="N705" i="1"/>
  <c r="B702" i="1"/>
  <c r="N699" i="1"/>
  <c r="N698" i="1"/>
  <c r="N697" i="1"/>
  <c r="N696" i="1"/>
  <c r="N695" i="1"/>
  <c r="N694" i="1"/>
  <c r="N693" i="1"/>
  <c r="B690" i="1"/>
  <c r="N687" i="1"/>
  <c r="N686" i="1"/>
  <c r="N685" i="1"/>
  <c r="N684" i="1"/>
  <c r="B681" i="1"/>
  <c r="N677" i="1"/>
  <c r="N676" i="1"/>
  <c r="N675" i="1"/>
  <c r="N674" i="1"/>
  <c r="N673" i="1"/>
  <c r="N678" i="1" s="1"/>
  <c r="N672" i="1"/>
  <c r="B669" i="1"/>
  <c r="N665" i="1"/>
  <c r="N664" i="1"/>
  <c r="N663" i="1"/>
  <c r="N666" i="1" s="1"/>
  <c r="B660" i="1"/>
  <c r="N656" i="1"/>
  <c r="N655" i="1"/>
  <c r="N657" i="1" s="1"/>
  <c r="N654" i="1"/>
  <c r="B651" i="1"/>
  <c r="N647" i="1"/>
  <c r="N648" i="1" s="1"/>
  <c r="N646" i="1"/>
  <c r="N645" i="1"/>
  <c r="B642" i="1"/>
  <c r="N638" i="1"/>
  <c r="N637" i="1"/>
  <c r="N636" i="1"/>
  <c r="N639" i="1" s="1"/>
  <c r="B633" i="1"/>
  <c r="N629" i="1"/>
  <c r="N628" i="1"/>
  <c r="N627" i="1"/>
  <c r="N630" i="1" s="1"/>
  <c r="B624" i="1"/>
  <c r="N620" i="1"/>
  <c r="N619" i="1"/>
  <c r="N621" i="1" s="1"/>
  <c r="N618" i="1"/>
  <c r="B615" i="1"/>
  <c r="P612" i="1"/>
  <c r="N611" i="1"/>
  <c r="L611" i="1"/>
  <c r="P610" i="1"/>
  <c r="N610" i="1"/>
  <c r="L609" i="1"/>
  <c r="N609" i="1" s="1"/>
  <c r="L608" i="1"/>
  <c r="N608" i="1" s="1"/>
  <c r="N607" i="1"/>
  <c r="L607" i="1"/>
  <c r="P606" i="1"/>
  <c r="N606" i="1"/>
  <c r="L605" i="1"/>
  <c r="N605" i="1" s="1"/>
  <c r="L604" i="1"/>
  <c r="N604" i="1" s="1"/>
  <c r="P603" i="1"/>
  <c r="L603" i="1"/>
  <c r="N603" i="1" s="1"/>
  <c r="N602" i="1"/>
  <c r="L602" i="1"/>
  <c r="N601" i="1"/>
  <c r="L601" i="1"/>
  <c r="B598" i="1"/>
  <c r="N594" i="1"/>
  <c r="N593" i="1"/>
  <c r="N592" i="1"/>
  <c r="N591" i="1"/>
  <c r="N590" i="1"/>
  <c r="L588" i="1"/>
  <c r="L589" i="1" s="1"/>
  <c r="N589" i="1" s="1"/>
  <c r="N587" i="1"/>
  <c r="L587" i="1"/>
  <c r="N586" i="1"/>
  <c r="L586" i="1"/>
  <c r="N585" i="1"/>
  <c r="L585" i="1"/>
  <c r="L584" i="1"/>
  <c r="N584" i="1" s="1"/>
  <c r="N583" i="1"/>
  <c r="L583" i="1"/>
  <c r="B580" i="1"/>
  <c r="N576" i="1"/>
  <c r="N575" i="1"/>
  <c r="N574" i="1"/>
  <c r="N573" i="1"/>
  <c r="N577" i="1" s="1"/>
  <c r="B570" i="1"/>
  <c r="N566" i="1"/>
  <c r="L566" i="1"/>
  <c r="N565" i="1"/>
  <c r="N564" i="1"/>
  <c r="L563" i="1"/>
  <c r="N563" i="1" s="1"/>
  <c r="N562" i="1"/>
  <c r="L562" i="1"/>
  <c r="N561" i="1"/>
  <c r="L561" i="1"/>
  <c r="N560" i="1"/>
  <c r="L560" i="1"/>
  <c r="L559" i="1"/>
  <c r="N559" i="1" s="1"/>
  <c r="N558" i="1"/>
  <c r="L558" i="1"/>
  <c r="B555" i="1"/>
  <c r="N551" i="1"/>
  <c r="N550" i="1"/>
  <c r="N549" i="1"/>
  <c r="N548" i="1"/>
  <c r="N547" i="1"/>
  <c r="L547" i="1"/>
  <c r="N546" i="1"/>
  <c r="N552" i="1" s="1"/>
  <c r="L546" i="1"/>
  <c r="B543" i="1"/>
  <c r="N539" i="1"/>
  <c r="N538" i="1"/>
  <c r="N537" i="1"/>
  <c r="N540" i="1" s="1"/>
  <c r="B534" i="1"/>
  <c r="N530" i="1"/>
  <c r="N529" i="1"/>
  <c r="N531" i="1" s="1"/>
  <c r="L529" i="1"/>
  <c r="N528" i="1"/>
  <c r="B525" i="1"/>
  <c r="N522" i="1"/>
  <c r="N521" i="1"/>
  <c r="N520" i="1"/>
  <c r="N519" i="1"/>
  <c r="B516" i="1"/>
  <c r="N512" i="1"/>
  <c r="N511" i="1"/>
  <c r="N510" i="1"/>
  <c r="L509" i="1"/>
  <c r="N509" i="1" s="1"/>
  <c r="L508" i="1"/>
  <c r="N508" i="1" s="1"/>
  <c r="N507" i="1"/>
  <c r="L507" i="1"/>
  <c r="N506" i="1"/>
  <c r="N505" i="1"/>
  <c r="L503" i="1"/>
  <c r="L504" i="1" s="1"/>
  <c r="N504" i="1" s="1"/>
  <c r="N502" i="1"/>
  <c r="L502" i="1"/>
  <c r="L501" i="1"/>
  <c r="N501" i="1" s="1"/>
  <c r="N500" i="1"/>
  <c r="B497" i="1"/>
  <c r="N493" i="1"/>
  <c r="N492" i="1"/>
  <c r="N491" i="1"/>
  <c r="N490" i="1"/>
  <c r="N489" i="1"/>
  <c r="N488" i="1"/>
  <c r="N487" i="1"/>
  <c r="L487" i="1"/>
  <c r="N486" i="1"/>
  <c r="L486" i="1"/>
  <c r="L485" i="1"/>
  <c r="N485" i="1" s="1"/>
  <c r="P484" i="1"/>
  <c r="N484" i="1"/>
  <c r="N483" i="1"/>
  <c r="N494" i="1" s="1"/>
  <c r="B480" i="1"/>
  <c r="N476" i="1"/>
  <c r="L476" i="1"/>
  <c r="L475" i="1"/>
  <c r="N475" i="1" s="1"/>
  <c r="N474" i="1"/>
  <c r="N473" i="1"/>
  <c r="N472" i="1"/>
  <c r="N471" i="1"/>
  <c r="N477" i="1" s="1"/>
  <c r="B468" i="1"/>
  <c r="N464" i="1"/>
  <c r="N463" i="1"/>
  <c r="N462" i="1"/>
  <c r="N461" i="1"/>
  <c r="L461" i="1"/>
  <c r="N460" i="1"/>
  <c r="L460" i="1"/>
  <c r="N459" i="1"/>
  <c r="N458" i="1"/>
  <c r="N457" i="1"/>
  <c r="L453" i="1"/>
  <c r="N453" i="1" s="1"/>
  <c r="N452" i="1"/>
  <c r="B449" i="1"/>
  <c r="N445" i="1"/>
  <c r="L445" i="1"/>
  <c r="L444" i="1"/>
  <c r="N444" i="1" s="1"/>
  <c r="N443" i="1"/>
  <c r="N442" i="1"/>
  <c r="N441" i="1"/>
  <c r="N440" i="1"/>
  <c r="N439" i="1"/>
  <c r="L439" i="1"/>
  <c r="L438" i="1"/>
  <c r="N438" i="1" s="1"/>
  <c r="N437" i="1"/>
  <c r="L436" i="1"/>
  <c r="N436" i="1" s="1"/>
  <c r="B433" i="1"/>
  <c r="N429" i="1"/>
  <c r="N428" i="1"/>
  <c r="N427" i="1"/>
  <c r="N426" i="1"/>
  <c r="N430" i="1" s="1"/>
  <c r="B423" i="1"/>
  <c r="N419" i="1"/>
  <c r="N418" i="1"/>
  <c r="N420" i="1" s="1"/>
  <c r="B415" i="1"/>
  <c r="N411" i="1"/>
  <c r="N410" i="1"/>
  <c r="N412" i="1" s="1"/>
  <c r="B407" i="1"/>
  <c r="N403" i="1"/>
  <c r="N402" i="1"/>
  <c r="N404" i="1" s="1"/>
  <c r="N401" i="1"/>
  <c r="N400" i="1"/>
  <c r="B397" i="1"/>
  <c r="N393" i="1"/>
  <c r="N392" i="1"/>
  <c r="L391" i="1"/>
  <c r="N391" i="1" s="1"/>
  <c r="N394" i="1" s="1"/>
  <c r="N390" i="1"/>
  <c r="N389" i="1"/>
  <c r="N388" i="1"/>
  <c r="B385" i="1"/>
  <c r="N381" i="1"/>
  <c r="N380" i="1"/>
  <c r="N379" i="1"/>
  <c r="N382" i="1" s="1"/>
  <c r="B376" i="1"/>
  <c r="N372" i="1"/>
  <c r="N371" i="1"/>
  <c r="N373" i="1" s="1"/>
  <c r="N370" i="1"/>
  <c r="B367" i="1"/>
  <c r="N363" i="1"/>
  <c r="N362" i="1"/>
  <c r="N361" i="1"/>
  <c r="N364" i="1" s="1"/>
  <c r="B358" i="1"/>
  <c r="N355" i="1"/>
  <c r="N354" i="1"/>
  <c r="N353" i="1"/>
  <c r="N352" i="1"/>
  <c r="B349" i="1"/>
  <c r="N345" i="1"/>
  <c r="N344" i="1"/>
  <c r="N343" i="1"/>
  <c r="N346" i="1" s="1"/>
  <c r="B340" i="1"/>
  <c r="N336" i="1"/>
  <c r="N335" i="1"/>
  <c r="N337" i="1" s="1"/>
  <c r="N334" i="1"/>
  <c r="B331" i="1"/>
  <c r="N327" i="1"/>
  <c r="N328" i="1" s="1"/>
  <c r="N326" i="1"/>
  <c r="N325" i="1"/>
  <c r="B322" i="1"/>
  <c r="N318" i="1"/>
  <c r="N317" i="1"/>
  <c r="N316" i="1"/>
  <c r="N319" i="1" s="1"/>
  <c r="B313" i="1"/>
  <c r="N309" i="1"/>
  <c r="N308" i="1"/>
  <c r="N307" i="1"/>
  <c r="N310" i="1" s="1"/>
  <c r="B304" i="1"/>
  <c r="N300" i="1"/>
  <c r="N299" i="1"/>
  <c r="N301" i="1" s="1"/>
  <c r="N298" i="1"/>
  <c r="B295" i="1"/>
  <c r="N291" i="1"/>
  <c r="N290" i="1"/>
  <c r="N289" i="1"/>
  <c r="N292" i="1" s="1"/>
  <c r="B286" i="1"/>
  <c r="N283" i="1"/>
  <c r="N282" i="1"/>
  <c r="N281" i="1"/>
  <c r="N280" i="1"/>
  <c r="B277" i="1"/>
  <c r="N273" i="1"/>
  <c r="N272" i="1"/>
  <c r="N271" i="1"/>
  <c r="N274" i="1" s="1"/>
  <c r="B268" i="1"/>
  <c r="N264" i="1"/>
  <c r="N263" i="1"/>
  <c r="N265" i="1" s="1"/>
  <c r="N262" i="1"/>
  <c r="B259" i="1"/>
  <c r="N255" i="1"/>
  <c r="N256" i="1" s="1"/>
  <c r="N254" i="1"/>
  <c r="N253" i="1"/>
  <c r="B250" i="1"/>
  <c r="N246" i="1"/>
  <c r="N245" i="1"/>
  <c r="N244" i="1"/>
  <c r="N247" i="1" s="1"/>
  <c r="B241" i="1"/>
  <c r="N237" i="1"/>
  <c r="N236" i="1"/>
  <c r="N235" i="1"/>
  <c r="N238" i="1" s="1"/>
  <c r="B232" i="1"/>
  <c r="N228" i="1"/>
  <c r="N227" i="1"/>
  <c r="N229" i="1" s="1"/>
  <c r="N226" i="1"/>
  <c r="B223" i="1"/>
  <c r="N219" i="1"/>
  <c r="N218" i="1"/>
  <c r="N217" i="1"/>
  <c r="N220" i="1" s="1"/>
  <c r="B214" i="1"/>
  <c r="N211" i="1"/>
  <c r="N210" i="1"/>
  <c r="N209" i="1"/>
  <c r="N208" i="1"/>
  <c r="N207" i="1"/>
  <c r="B204" i="1"/>
  <c r="N200" i="1"/>
  <c r="N199" i="1"/>
  <c r="N201" i="1" s="1"/>
  <c r="N198" i="1"/>
  <c r="B195" i="1"/>
  <c r="N191" i="1"/>
  <c r="N190" i="1"/>
  <c r="N189" i="1"/>
  <c r="N192" i="1" s="1"/>
  <c r="B186" i="1"/>
  <c r="N183" i="1"/>
  <c r="N182" i="1"/>
  <c r="N181" i="1"/>
  <c r="N180" i="1"/>
  <c r="B177" i="1"/>
  <c r="N173" i="1"/>
  <c r="N172" i="1"/>
  <c r="N171" i="1"/>
  <c r="N174" i="1" s="1"/>
  <c r="B168" i="1"/>
  <c r="N164" i="1"/>
  <c r="N163" i="1"/>
  <c r="N165" i="1" s="1"/>
  <c r="N162" i="1"/>
  <c r="B159" i="1"/>
  <c r="N155" i="1"/>
  <c r="N156" i="1" s="1"/>
  <c r="N154" i="1"/>
  <c r="N153" i="1"/>
  <c r="B150" i="1"/>
  <c r="N146" i="1"/>
  <c r="N145" i="1"/>
  <c r="N144" i="1"/>
  <c r="N147" i="1" s="1"/>
  <c r="B141" i="1"/>
  <c r="N137" i="1"/>
  <c r="N136" i="1"/>
  <c r="N135" i="1"/>
  <c r="N138" i="1" s="1"/>
  <c r="B132" i="1"/>
  <c r="N128" i="1"/>
  <c r="N127" i="1"/>
  <c r="N129" i="1" s="1"/>
  <c r="N126" i="1"/>
  <c r="B123" i="1"/>
  <c r="N119" i="1"/>
  <c r="N118" i="1"/>
  <c r="N115" i="1"/>
  <c r="N114" i="1"/>
  <c r="N113" i="1"/>
  <c r="N112" i="1"/>
  <c r="L111" i="1"/>
  <c r="N111" i="1" s="1"/>
  <c r="B108" i="1"/>
  <c r="N104" i="1"/>
  <c r="N103" i="1"/>
  <c r="N100" i="1"/>
  <c r="N99" i="1"/>
  <c r="N98" i="1"/>
  <c r="N97" i="1"/>
  <c r="N96" i="1"/>
  <c r="L96" i="1"/>
  <c r="L102" i="1" s="1"/>
  <c r="B93" i="1"/>
  <c r="N89" i="1"/>
  <c r="N88" i="1"/>
  <c r="N87" i="1"/>
  <c r="L86" i="1"/>
  <c r="N86" i="1" s="1"/>
  <c r="N90" i="1" s="1"/>
  <c r="N85" i="1"/>
  <c r="B82" i="1"/>
  <c r="N78" i="1"/>
  <c r="N79" i="1" s="1"/>
  <c r="N77" i="1"/>
  <c r="N76" i="1"/>
  <c r="N75" i="1"/>
  <c r="B72" i="1"/>
  <c r="N68" i="1"/>
  <c r="N67" i="1"/>
  <c r="N66" i="1"/>
  <c r="N69" i="1" s="1"/>
  <c r="B63" i="1"/>
  <c r="N59" i="1"/>
  <c r="N58" i="1"/>
  <c r="L56" i="1"/>
  <c r="L57" i="1" s="1"/>
  <c r="N57" i="1" s="1"/>
  <c r="L55" i="1"/>
  <c r="N55" i="1" s="1"/>
  <c r="L54" i="1"/>
  <c r="N54" i="1" s="1"/>
  <c r="L53" i="1"/>
  <c r="N53" i="1" s="1"/>
  <c r="B50" i="1"/>
  <c r="N46" i="1"/>
  <c r="N45" i="1"/>
  <c r="L44" i="1"/>
  <c r="N44" i="1" s="1"/>
  <c r="N43" i="1"/>
  <c r="L42" i="1"/>
  <c r="N42" i="1" s="1"/>
  <c r="N41" i="1"/>
  <c r="L41" i="1"/>
  <c r="N40" i="1"/>
  <c r="L40" i="1"/>
  <c r="N39" i="1"/>
  <c r="L39" i="1"/>
  <c r="L38" i="1"/>
  <c r="N38" i="1" s="1"/>
  <c r="B35" i="1"/>
  <c r="N31" i="1"/>
  <c r="N30" i="1"/>
  <c r="N29" i="1"/>
  <c r="N28" i="1"/>
  <c r="N27" i="1"/>
  <c r="N26" i="1"/>
  <c r="N32" i="1" s="1"/>
  <c r="B23" i="1"/>
  <c r="L19" i="1"/>
  <c r="N19" i="1" s="1"/>
  <c r="N18" i="1"/>
  <c r="N20" i="1" s="1"/>
  <c r="L18" i="1"/>
  <c r="B15" i="1"/>
  <c r="N47" i="1" l="1"/>
  <c r="N612" i="1"/>
  <c r="L101" i="1"/>
  <c r="N101" i="1" s="1"/>
  <c r="N105" i="1" s="1"/>
  <c r="N102" i="1"/>
  <c r="N804" i="1"/>
  <c r="L832" i="1"/>
  <c r="N832" i="1" s="1"/>
  <c r="N831" i="1"/>
  <c r="N446" i="1"/>
  <c r="N567" i="1"/>
  <c r="L117" i="1"/>
  <c r="N503" i="1"/>
  <c r="N513" i="1" s="1"/>
  <c r="L817" i="1"/>
  <c r="N817" i="1" s="1"/>
  <c r="N821" i="1" s="1"/>
  <c r="N56" i="1"/>
  <c r="N60" i="1" s="1"/>
  <c r="L454" i="1"/>
  <c r="N588" i="1"/>
  <c r="N595" i="1" s="1"/>
  <c r="P590" i="1" s="1"/>
  <c r="N827" i="1"/>
  <c r="N833" i="1" s="1"/>
  <c r="N454" i="1" l="1"/>
  <c r="L455" i="1"/>
  <c r="N117" i="1"/>
  <c r="L116" i="1"/>
  <c r="N116" i="1" s="1"/>
  <c r="N120" i="1" s="1"/>
  <c r="L456" i="1" l="1"/>
  <c r="N456" i="1" s="1"/>
  <c r="N455" i="1"/>
  <c r="N465" i="1"/>
</calcChain>
</file>

<file path=xl/sharedStrings.xml><?xml version="1.0" encoding="utf-8"?>
<sst xmlns="http://schemas.openxmlformats.org/spreadsheetml/2006/main" count="2314" uniqueCount="415">
  <si>
    <t>GOVERNO DO ESTADO DO PARÁ
PREFEITURA MUNICIPAL DE PLACAS
CNPJ 01.611.858/0001-55</t>
  </si>
  <si>
    <t>COMPOSIÇÕES</t>
  </si>
  <si>
    <t>Item</t>
  </si>
  <si>
    <t>Descrição do item</t>
  </si>
  <si>
    <t>ADMINISTRAÇÃO DA OBRA COM ENGENHEIRO CIVIL JUNIOR E ENCARREGADO GERAL</t>
  </si>
  <si>
    <t>Unidade</t>
  </si>
  <si>
    <t>und</t>
  </si>
  <si>
    <t>COMPOSIÇÃO 1</t>
  </si>
  <si>
    <t>Fonte</t>
  </si>
  <si>
    <t>Código</t>
  </si>
  <si>
    <t>Descrição</t>
  </si>
  <si>
    <t>UNID</t>
  </si>
  <si>
    <t>Quant.</t>
  </si>
  <si>
    <t>Valor</t>
  </si>
  <si>
    <t>Total</t>
  </si>
  <si>
    <t>SINAPI</t>
  </si>
  <si>
    <t>ENGENHEIRO CIVIL DE OBRA JUNIOR COM ENCARGOS COMPLEMENTARES</t>
  </si>
  <si>
    <t>H</t>
  </si>
  <si>
    <t>ENCARREGADO GERAL COM ENCARGOS COMPLEMENTARES</t>
  </si>
  <si>
    <t>Total do ítem</t>
  </si>
  <si>
    <t xml:space="preserve">Item </t>
  </si>
  <si>
    <t>CHAPIM EM CONCRETO APARENTE COM ACABAMENTO DESEMPENADO</t>
  </si>
  <si>
    <t>m</t>
  </si>
  <si>
    <t>COMPOSIÇÃO 2</t>
  </si>
  <si>
    <t>CONCRETO FCK = 15MPA, TRAÇO 1:3,4:3,5 (EM MASSA SECA DE CIMENTO/ AREIA MÉDIA/ BRITA 1) - PREPARO MECÂNICO COM BETONEIRA 400 L. AF_05/2021</t>
  </si>
  <si>
    <t>M³</t>
  </si>
  <si>
    <t>SINAPI-I</t>
  </si>
  <si>
    <t>TELA DE ACO SOLDADA NERVURADA, CA-60, Q-138, (2,20 KG/M2), DIAMETRO DO FIO = 4,2 MM, LARGURA = 2,45 M, ESPACAMENTO DA MALHA = 10  X 10 CM</t>
  </si>
  <si>
    <t>M²</t>
  </si>
  <si>
    <t xml:space="preserve">CHAPA DE MADEIRA COMPENSADA PLASTIFICADA PARA FORMA DE CONCRETO, DE 2,20 x 1,10 M, E = 10 MM      </t>
  </si>
  <si>
    <t>ARAME RECOZIDO 18 BWG, 1,25 MM (0,01 KG/M)</t>
  </si>
  <si>
    <t>KG</t>
  </si>
  <si>
    <t>PEDREIRO COM ENCARGOS COMPLEMENTARES</t>
  </si>
  <si>
    <t>SERVENTE COM ENCARGOS COMPLEMENTARES</t>
  </si>
  <si>
    <t>Total do item</t>
  </si>
  <si>
    <t>comp.</t>
  </si>
  <si>
    <t>2 U</t>
  </si>
  <si>
    <t>FORNECIMENTO E INSTALAÇÃO DE COBERTURA EM TELHA TERMOACUSTICA CHAPA CHAPA, ESPESSURA DE 30MM, FIXADO COM PERFIL U - 125x50x3MM E TIRANTE EM AÇO GALVANIZADO (COBERTURA 07).</t>
  </si>
  <si>
    <t>U - 125</t>
  </si>
  <si>
    <t>COMPOSIÇÃO 3</t>
  </si>
  <si>
    <t>Tirante(kg/m)</t>
  </si>
  <si>
    <t>COTAÇÃO</t>
  </si>
  <si>
    <t>PERFIL ENRIJECIDO 2U 150 X 60 X 20 - CH 11 - 3,00MM - 6m 41,21900</t>
  </si>
  <si>
    <t>Qtd Perfis 2U</t>
  </si>
  <si>
    <t>PERFIL U SIMPLES 125 X 50 - CH 11 - 3,00MM - 6m 31,05600</t>
  </si>
  <si>
    <t>Qtd Perfis u - 125</t>
  </si>
  <si>
    <t xml:space="preserve">CABO DE ACO GALVANIZADO, DIAMETRO 12,7 MM (1/2"), COM ALMA DE ACO CABO INDEPENDENTE 6 X 25 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</si>
  <si>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SOLDA DE TOPO EM CHAPA/PERFIL/TUBO DE AÇO CHANFRADO, ESPESSURA=1/4''. AF_06/2018</t>
  </si>
  <si>
    <t>M</t>
  </si>
  <si>
    <t xml:space="preserve">PERFIL DE BORRACHA EPDM MACICO *12 X 15* MM PARA ESQUADRIAS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</si>
  <si>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    </t>
  </si>
  <si>
    <t>COTAÇÃO MERCADO</t>
  </si>
  <si>
    <t xml:space="preserve">TELHA GALVALUME COM ISOLAMENTO TERMOACUSTICO EM ESPUMA RIGIDA DE POLIURETANO (PU) INJETADO, ESPESSURA DE 30 MM. DENSIDADE DE 35 KG/M3, REVESTIMENTO EM TELHA TRAPEZODAL NAS DUAS FACES COM ESPESSURA DE 10.50 MM CADA, ACABAMENTO NATURAL (NAO INCLUI ACESSORIOS DE FXACAO) </t>
  </si>
  <si>
    <t xml:space="preserve">M2    </t>
  </si>
  <si>
    <t>HASTE RETA PARA GANCHO DE FERRO GALVANIZADO, COM ROSCA 1/4 " X 30 CM PARA FIXACAO DE TELHA METALICA, INCLUI PORCA E ARRUELAS DE VEDACAO</t>
  </si>
  <si>
    <t>CJ</t>
  </si>
  <si>
    <t>TELHADISTA COM ENCARGOS COMPLEMENTARES</t>
  </si>
  <si>
    <t>AJUDANTE DE ARMADOR COM ENCARGOS COMPLEMENTARES</t>
  </si>
  <si>
    <t>EXECUÇÃO DE FURO, COM CAIXA EM CHAPA DE AÇO GALVANIZADA, INCLUINDO PINTURA METÁLICA E IMPERMEABILIZAÇÃO COM MANTA ASFÁLTICA.</t>
  </si>
  <si>
    <t>COMPOSIÇÃO 4</t>
  </si>
  <si>
    <t xml:space="preserve">CHAPA DE ACO GALVANIZADA BITOLA GSG 16, E = 1,55 MM (12,40 KG/M2)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</si>
  <si>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IMPERMEABILIZAÇÃO DE SUPERFÍCIE COM MANTA ASFÁLTICA, UMA CAMADA, INCLUSIVE APLICAÇÃO DE PRIMER ASFÁLTICO, E=3MM. AF_06/2018</t>
  </si>
  <si>
    <t>PINTURA COM TINTA ALQUÍDICA DE ACABAMENTO (ESMALTE SINTÉTICO ACETINADO) APLICADA A ROLO OU PINCEL SOBRE SUPERFÍCIES METÁLICAS (EXCETO PERFIL) EXECUTADO EM OBRA (02 DEMÃOS). AF_01/2020</t>
  </si>
  <si>
    <t>LIXAMENTO MANUAL EM SUPERFÍCIES METÁLICAS EM OBRA. AF_01/2020</t>
  </si>
  <si>
    <t>M2</t>
  </si>
  <si>
    <t>AJUDANTE DE ESTRUTURA METÁLICA COM ENCARGOS COMPLEMENTARES</t>
  </si>
  <si>
    <t>SOLDADOR COM ENCARGOS COMPLEMENTARES</t>
  </si>
  <si>
    <t>PORTA DE MADEIRA, EM ACABAMENTO MELAMÍNICO BRANCO, FOLHA LEVE OU MÉDIA, 2 FOLHAS DE 70X210CM, ESPESSURA DE 3,5CM, ITENS INCLUSOS: DOBRADIÇAS, MONTAGEM E INSTALAÇÃO DO BATENTE, FECHADURA COM EXECUÇÃO DO FURO - FORNECIMENTO E INSTALAÇÃO.</t>
  </si>
  <si>
    <t>COMPOSIÇÃO 5</t>
  </si>
  <si>
    <t>BATENTE PARA PORTA DE MADEIRA, FIXAÇÃO COM ARGAMASSA, PADRÃO MÉDIO - FORNECIMENTO E INSTALAÇÃO. AF_12/2019_P</t>
  </si>
  <si>
    <t>KIT DE PORTA-PRONTA DE MADEIRA EM ACABAMENTO MELAMÍNICO BRANCO, FOLHA LEVE OU MÉDIA, 70X210CM, EXCLUSIVE FECHADURA, FIXAÇÃO COM PREENCHIMENTO PARCIAL DE ESPUMA EXPANSIVA - FORNECIMENTO E INSTALAÇÃO. AF_12/2019</t>
  </si>
  <si>
    <t>FECHADURA DE EMBUTIR PARA PORTAS INTERNAS, COMPLETA, ACABAMENTO PADRÃO MÉDIO, COM EXECUÇÃO DE FURO - FORNECIMENTO E INSTALAÇÃO. AF_12/2019</t>
  </si>
  <si>
    <t>FORNECIMENTO E INSTALAÇÃO DE PORTA DE ABRIR COM MOLA HIDRÁULICA, EM VIDRO TEMPERADO, 2 FOLHAS DE 90X210 CM, ESPESSURA 10MM, INCLUSIVE ACESSÓRIOS E BARRA ANTIPÂNICO DUPLA.</t>
  </si>
  <si>
    <t>COMPOSIÇÃO 6</t>
  </si>
  <si>
    <t>PORTA DE ABRIR COM MOLA HIDRÁULICA, EM VIDRO TEMPERADO, 2 FOLHAS DE 90X210 CM, ESPESSURA DD 10MM, INCLUSIVE ACESSÓRIOS. AF_01/2021</t>
  </si>
  <si>
    <t>UND</t>
  </si>
  <si>
    <t xml:space="preserve">BARRA ANTIPANICO DUPLA, PARA PORTA DE VIDRO, COR CINZA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</si>
  <si>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</t>
  </si>
  <si>
    <t>FORNECIMENTO E INSTALAÇÃO DE PORTA DE ABRIR COM MOLA HIDRÁULICA, EM VIDRO TEMPERADO, 2 FOLHAS DE 75X210 CM, ESPESSURA 10MM, INCLUSIVE ACESSÓRIOS E BARRA ANTIPÂNICO DUPLA.</t>
  </si>
  <si>
    <t>COMPOSIÇÃO 7</t>
  </si>
  <si>
    <t>CONJ. DE FERRAGENS PARA PORTA DE VIDRO TEMPERADO, EM ZAMAC CROMADO, CONTEMPLANDO: DOBRADICA INF.; DOBRADICA SUP.; PIVO PARA DOBRADICA INF.; PIVO PARA DOBRADICA SUP.; FECHADURA CENTRAL EM ZAMC CROMADO; CONTRA FECHADURA DE PRESSAO</t>
  </si>
  <si>
    <t>VIDRO TEMPERADO INCOLOR PARA PORTA DE ABRIR, E = 10 MM (SEM FERRAGENS E SEM COLOCACAO)</t>
  </si>
  <si>
    <t>FORNECIMENTO E INSTALAÇÃO DE PORTÃO DE ABRIR 4,00x2,00M EM GRADIL, INCLUINDO DOBRADIÇA, CADEADO, LIXAMENTO E PINTURA ANTICORROSIVA.</t>
  </si>
  <si>
    <t>COMPOSIÇÃO 8</t>
  </si>
  <si>
    <t>PORTAO DE ABRIR EM GRADIL DE METALON REDONDO DE 3/4"  VERTICAL, COM REQUADRO, ACABAMENTO NATURAL - COMPLETO</t>
  </si>
  <si>
    <t>ARGAMASSA TRAÇO 1:4 (EM VOLUME DE CIMENTO E AREIA MÉDIA ÚMIDA), PREPARO MANUAL. AF_08/2019</t>
  </si>
  <si>
    <t>DOBRADICA EM LATAO, 3 " X 2 1/2 ", E= 1,9 A 2 MM, COM ANEL, CROMADO, TAMPA BOLA, COM PARAFUSOS</t>
  </si>
  <si>
    <t xml:space="preserve">FERROLHO COM FECHO CHATO E PORTA CADEADO , EM ACO GALVANIZADO / ZINCADO, DE SOBREPOR, COM COMPRIMENTO DE 3" A 4", CHAPA COM ESPESSURA MINIMA DE 0,90 MM E LARGURA MINIMA DE 3,20 CM (FECHO SIMPLES / LEVE) (INCLUI PARAFUSOS)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</si>
  <si>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CADEADO SIMPLES, CORPO EM LATAO MACICO, COM LARGURA DE 25 MM E ALTURA DE APROX 25 MM, HASTE CEMENTADA (NAO LONGA), EM ACO TEMPERADO COM DIAMETRO DE APROX 5,0 MM, INCLUINDO 2 CHAVES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</si>
  <si>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PINTURA COM TINTA ACRÍLICA DE ACABAMENTO APLICADA A ROLO OU PINCEL SOBRE SUPERFÍCIES METÁLICAS (EXCETO PERFIL) EXECUTADO EM OBRA (02 DEMÃOS). AF_01/2020</t>
  </si>
  <si>
    <t>AJUDANTE DE PEDREIRO COM ENCARGOS COMPLEMENTARES</t>
  </si>
  <si>
    <t>FORNECIMENTO E INSTALAÇÃO DE PORTÃO DE ABRIR 1,00x2,00M EM GRADIL, INCLUINDO DOBRADIÇA, CADEADO, LIXAMENTO E PINTURA ANTICORROSIVA.</t>
  </si>
  <si>
    <t>COMPOSIÇÃO 9</t>
  </si>
  <si>
    <t>ELETROCALHA 150x100x3000MM. FORNECIMENTO E INSTALAÇÃO.</t>
  </si>
  <si>
    <t>COMPOSIÇÃO 10</t>
  </si>
  <si>
    <t>ELETROCALHA 150x100x3000MM</t>
  </si>
  <si>
    <t>SEDOP</t>
  </si>
  <si>
    <t>AUXILIAR DE ELETRICISTA COM ENCARGOS COMPLEMENTARES</t>
  </si>
  <si>
    <t>ELETRICISTA COM ENCARGOS COMPLEMENTARES</t>
  </si>
  <si>
    <t>TAMPA DE ENCAIXE PARA ELETROCALHA 150X100X3000MM. FORNECIMENTO E INSTALAÇÃO.</t>
  </si>
  <si>
    <t>COMPOSIÇÃO 11</t>
  </si>
  <si>
    <t>TAMPA DE ENCAIXE PARA ELETROCALHA 150X100X3000MM</t>
  </si>
  <si>
    <t>TÊ PARA ELETROCALHA 150X100MM. FORNECIMENTO E INSTALAÇÃO.</t>
  </si>
  <si>
    <t>COMPOSIÇÃO 12</t>
  </si>
  <si>
    <t>TÊ PARA ELETROCALHA 150X100</t>
  </si>
  <si>
    <t>TALA DE EMENDA PARA ELETROCALHA 150X100MM. FORNECIMENTO E INSTALAÇÃO.</t>
  </si>
  <si>
    <t>COMPOSIÇÃO 13</t>
  </si>
  <si>
    <t>TALA DE EMENDA PARA ELETROCALHA 150X100MM</t>
  </si>
  <si>
    <t>280007</t>
  </si>
  <si>
    <t>280014</t>
  </si>
  <si>
    <t>CURVA PARA ELETROCALHA 150X100MM. FORNECIMENTO E INSTALAÇÃO.</t>
  </si>
  <si>
    <t>COMPOSIÇÃO 14</t>
  </si>
  <si>
    <t>CURVA PARA ELETROCALHA 150X100MM</t>
  </si>
  <si>
    <t>CURVA DE INVERSÃO PARA ELETROCALHA 150X100MM. FORNECIMENTO E INSTALAÇÃO.</t>
  </si>
  <si>
    <t>COMPOSIÇÃO 15</t>
  </si>
  <si>
    <t>CURVA DE INVERSÃO PARA ELETROCALHA 150X100MM</t>
  </si>
  <si>
    <t>FLANGE DE ACOPLAMENTO EM PAINEL PARA 150X100MM. FORNECIMENTO E INSTALAÇÃO.</t>
  </si>
  <si>
    <t>COMPOSIÇÃO 16</t>
  </si>
  <si>
    <t>FLANGE DE ACOPLAMENTO EM PAINEL PARA 150X100MM</t>
  </si>
  <si>
    <t>TERMINAL PARA ELETROCALHA 150X100MM. FORNECIMENTO E INSTALAÇÃO.</t>
  </si>
  <si>
    <t>COMPOSIÇÃO 17</t>
  </si>
  <si>
    <t>TERMINAL PARA ELETROCALHA 150X100MM</t>
  </si>
  <si>
    <t>SAIDA HORIZONTAL PARA ELETROCALHA 1 1/4". FORNECIMENTO E INSTALAÇÃO</t>
  </si>
  <si>
    <t>COMPOSIÇÃO 18</t>
  </si>
  <si>
    <t>SAIDA HORIZONTAL PARA ELETROCALHA 1 1/4""</t>
  </si>
  <si>
    <t>QUADRO DE COMANDO 1200X800X300MM IP55. FORNECIMENTO E INSTALAÇÃO.</t>
  </si>
  <si>
    <t>COMPOSIÇÃO 19</t>
  </si>
  <si>
    <t>QUADRO DE COMANDO 1200X800X300MM IP55</t>
  </si>
  <si>
    <t>110141</t>
  </si>
  <si>
    <t>Argamassa de cimento e areia 1:4</t>
  </si>
  <si>
    <t>M3</t>
  </si>
  <si>
    <t>KIT BARRAMENTO TRIFÁSICO PARA 400A. FORNECIMENTO E INSTALAÇÃO.</t>
  </si>
  <si>
    <t>COMPOSIÇÃO 20</t>
  </si>
  <si>
    <t>KIT BARRAMENTO TRIFÁSICO PARA 400A</t>
  </si>
  <si>
    <t>DISPOSITIVO DPS CLASSE II, 1 POLO, TENSÃO MÁXIMA DE 275 V, CORRENTE MÁXIMA DE *60* KA (TIPO AC) - FORNECIMENTO E INSTALAÇÃO.</t>
  </si>
  <si>
    <t>COMPOSIÇÃO 21</t>
  </si>
  <si>
    <t>DISPOSITIVO DPS CLASSE II, 1 POLO, TENSAO MAXIMA DE 275 V, CORRENTE MAXIMA DE *60* KA (TIPO AC)</t>
  </si>
  <si>
    <t>TAMPA DE ENCAIXE PARA ELETROCALHA 50mm CHAPA 24. FORNECIMENTO E INSTALAÇÃO.</t>
  </si>
  <si>
    <t>COMPOSIÇÃO 22</t>
  </si>
  <si>
    <t>TAMPA DE ENCAIXE PARA ELETROCALHA 50mm CHAPA 24</t>
  </si>
  <si>
    <t>ELETROCALHA - TERMINAL DE FECHAMENTO 50x50 CHAPA 20. FORNECIMENTO E INSTALAÇÃO.</t>
  </si>
  <si>
    <t>COMPOSIÇÃO 23</t>
  </si>
  <si>
    <t>ELETROCALHA - TERMINAL DE FECHAMENTO 50x50 CHAPA 20</t>
  </si>
  <si>
    <t>EMENDA INTERNA PARA ELETROCALHA 50x50MM. FORNECIMENTO E INSTALAÇÃO.</t>
  </si>
  <si>
    <t>COMPOSIÇÃO 24</t>
  </si>
  <si>
    <t>EMENDA INTERNA PARA ELETROCALHA 50x50</t>
  </si>
  <si>
    <t>CURVA DE INVERSAO PARA ELETROCALHA 0,50m. FORNECIMENTO E INSTALAÇÃO</t>
  </si>
  <si>
    <t>COMPOSIÇÃO 25</t>
  </si>
  <si>
    <t>CURVA DE INVERSAO PARA ELETROCALHA 0,50m</t>
  </si>
  <si>
    <t>CURVA HORIZONTAL 90 GRAUS PARA ELETROCALHA 50x50MM. FORNECIMENTO E INSTALAÇÕES.</t>
  </si>
  <si>
    <t>COMPOSIÇÃO 26</t>
  </si>
  <si>
    <t>CURVA HORIZONTAL 90 GRAUS PARA ELETROCALHA 50x50MM</t>
  </si>
  <si>
    <t>SAIDA HORIZONTAL PARA ELETRODUTO 3/4". FORNECIMENTO E INSTALAÇÃO.</t>
  </si>
  <si>
    <t>COMPOSIÇÃO 27</t>
  </si>
  <si>
    <t>SAIDA HORIZONTAL PARA ELETRODUTO 3/4""</t>
  </si>
  <si>
    <t>ELETROCALHA PERFURADA TIPO ""U"" 100X50 CHAPA 20 SEM TAMPA. FORNECIMENTO E INSTALAÇÃO.</t>
  </si>
  <si>
    <t>COMPOSIÇÃO 28</t>
  </si>
  <si>
    <t>ELETROCALHA PERFURADA TIPO ""U"" 100X50 CHAPA 20 SEM TAMPA</t>
  </si>
  <si>
    <t>ELETROCALHA - TAMPA DE ENCAIXE 100MM. FORNECIMENTO E INSTALAÇÃO.</t>
  </si>
  <si>
    <t>COMPOSIÇÃO 29</t>
  </si>
  <si>
    <t>ELETROCALHA - TAMPA DE ENCAIXE 100MM</t>
  </si>
  <si>
    <t xml:space="preserve"> EMENDA INTERNA PARA ELETROCALHA 100x50MM. FORNECIMENTO E INSTALAÇÃO.</t>
  </si>
  <si>
    <t>COMPOSIÇÃO 30</t>
  </si>
  <si>
    <t>EMENDA INTERNA PARA ELETROCALHA 100x50MM</t>
  </si>
  <si>
    <t>TE HORIZONTAL PARA ELETROCALHA 100X100MM. FORNECIMENTO E INSTALAÇÃO.</t>
  </si>
  <si>
    <t>COMPOSIÇÃO 31</t>
  </si>
  <si>
    <t>TE HORIZONTAL PARA ELETROCALHA 100X100MM</t>
  </si>
  <si>
    <t>ELETROCALHA - CURVA 90 GRAUS HORIZONTAL 100X50MM. FORNECIMENTO E INSTALAÇÃO.</t>
  </si>
  <si>
    <t>COMPOSIÇÃO 32</t>
  </si>
  <si>
    <t>ELETROCALHA - CURVA 90 GRAUS HORIZONTAL 100X50MM</t>
  </si>
  <si>
    <t>TERMINAL PARA ELETROCALHA 100X50MM. FORNECIMENTO E INSTALAÇÃO.</t>
  </si>
  <si>
    <t>COMPOSIÇÃO 33</t>
  </si>
  <si>
    <t>TERMINAL PARA ELETROCALHA 100X50MM</t>
  </si>
  <si>
    <t>SAIDA HORIZONTAL PARA ELETRODUTO 1"". FORNECIMENTO E INSTALAÇÃO</t>
  </si>
  <si>
    <t>COMPOSIÇÃO 34</t>
  </si>
  <si>
    <t>SAIDA HORIZONTAL PARA ELETRODUTO 1""</t>
  </si>
  <si>
    <t>SPOT DE LED PARA PISO 10W. FORNECIMENTO E INSTALAÇÃO.</t>
  </si>
  <si>
    <t>COMPOSIÇÃO 35</t>
  </si>
  <si>
    <t>SPOT DE LED PARA PISO 10W</t>
  </si>
  <si>
    <t>LUMINÁRIA TIPO PLAFON QUADRADO DE LED 40x40cm - POTÊNCIA 40W. FORNECIMENTO E INSTALAÇÃO.</t>
  </si>
  <si>
    <t>COMPOSIÇÃO 36</t>
  </si>
  <si>
    <t>LUMINÁRIA TIPO PLAFON QUADRADO DE LED 40x40cm - POTÊNCIA 40W</t>
  </si>
  <si>
    <t>LUMINÁRIA TIPO PLAFON QUADRADO DE LED 30x30cm - POTÊNCIA 20W. FORNECIMENTO E INSTALAÇÃO.</t>
  </si>
  <si>
    <t>COMPOSIÇÃO 37</t>
  </si>
  <si>
    <t>LUMINÁRIA TIPO PLAFON QUADRADO DE LED 30x30cm - POTÊNCIA 20W</t>
  </si>
  <si>
    <t>TERMINAL AEREO EM ACO GALVANIZADO COM BASE DE FIXACAO H = 30CM. FORNECIMENTO E INSTALAÇÃO</t>
  </si>
  <si>
    <t>COMPOSIÇÃO 38</t>
  </si>
  <si>
    <t>TERMINAL AEREO EM ACO GALVANIZADO COM BASE DE FIXACAO H = 30CM</t>
  </si>
  <si>
    <t>KIT DE PORTA DE MADEIRA DE MADEIRA EM ACABAMENTO MELAMÍNICO BRANCO, FOLHA LEVE OU MÉDIA, 90X210, ITENS INCLUSOS: DOBRADIÇAS, BARRA DE APOIO EM AÇO INOX PARA PCD, CHAPA DE AÇO INOX E FECHADURA - FORNECIMENTO E INSTALAÇÃO.</t>
  </si>
  <si>
    <t>COMPOSIÇÃO 39</t>
  </si>
  <si>
    <t>100675</t>
  </si>
  <si>
    <t>KIT DE PORTA-PRONTA DE MADEIRA EM ACABAMENTO MELAMÍNICO BRANCO, FOLHA LEVE OU MÉDIA, 90X210, EXCLUSIVE FECHADURA, FIXAÇÃO COM PREENCHIMENTO TOTAL DE ESPUMA EXPANSIVA - FORNECIMENTO E INSTALAÇÃO. AF_12/2019</t>
  </si>
  <si>
    <t>FECHADURA DE EMBUTIR PARA PORTA DE BANHEIRO, COMPLETA, ACABAMENTO PADRÃO POPULAR, INCLUSO EXECUÇÃO DE FURO - FORNECIMENTO E INSTALAÇÃO. AF_12/2019</t>
  </si>
  <si>
    <t>BARRA DE APOIO RETA, EM ACO INOX POLIDO, COMPRIMENTO 60CM, FIXADA NA PAREDE - FORNECIMENTO E INSTALAÇÃO. AF_01/2020</t>
  </si>
  <si>
    <t>12759</t>
  </si>
  <si>
    <t>CHAPA ACO INOX AISI 304 NUMERO 9 (E = 4 MM), ACABAMENTO NUMERO 1 (LAMINADO A QUENTE, FOSCO)</t>
  </si>
  <si>
    <t>RALO FOFO SEMIESFERICO, 100 MM, PARA LAJES/ CALHAS. FORNECIMENTO E INSTALAÇÃO</t>
  </si>
  <si>
    <t>COMPOSIÇÃO 40</t>
  </si>
  <si>
    <t>RALO FOFO SEMIESFERICO, 100 MM, PARA LAJES/ CALHAS</t>
  </si>
  <si>
    <t>ARGAMASSA TRAÇO 1:4 (EM VOLUME DE CIMENTO E AREIA GROSSA ÚMIDA) PARA CHAPISCO CONVENCIONAL, PREPARO MECÂNICO COM BETONEIRA 400 L. AF_08/2019</t>
  </si>
  <si>
    <t xml:space="preserve">PLACA DE SINALIZACAO DE SEGURANCA CONTRA INCENDIO, FOTOLUMINESCENTE, RETANGULAR, *20 X 40* CM, EM PVC *2* MM ANTI-CHAMAS (SIMBOLOS, CORES E PICTOGRAMAS CONFORME NBR 13434) </t>
  </si>
  <si>
    <t>COMPOSIÇÃO 41</t>
  </si>
  <si>
    <t>PLACA DE SINALIZACAO DE SEGURANCA CONTRA INCENDIO, FOTOLUMINESCENTE, RETANGULAR, *20 X 40* CM, EM PVC *2* MM ANTI-CHAMAS (SIMBOLOS, CORES E PICTOGRAMAS CONFORME NBR 13434)</t>
  </si>
  <si>
    <t>PLACA DE SINALIZACAO DE SEGURANCA CONTRA INCENDIO, FOTOLUMINESCENTE, QUADRADA, *20 X 20* CM, EM PVC *2* MM ANTI-CHAMAS (SIMBOLOS, CORES E PICTOGRAMAS CONFORME NBR 13434)</t>
  </si>
  <si>
    <t>COMPOSIÇÃO 42</t>
  </si>
  <si>
    <t>FORNECIMENTO E INSTALAÇÃO DE CAIXA D'ÁGUA EM FIBRA DE VIDRO, 2000 LITROS, INCLUINDO FURO COM ESPESSURA DE 2 ATÉ 5MM.</t>
  </si>
  <si>
    <t>COMPOSIÇÃO 43</t>
  </si>
  <si>
    <t>CAIXA D'AGUA FIBRA DE VIDRO PARA 2000 LITROS, COM TAMPA</t>
  </si>
  <si>
    <t>FURO EM CAIXA D'ÁGUA COM ESPESSURA DE 2 ATÉ 5 MM E DIÂMETRO DE 25 MM. AF_06/2021</t>
  </si>
  <si>
    <t>AUXILIAR DE ENCANADOR OU BOMBEIRO HIDRÁULICO COM ENCARGOS COMPLEMENTARES</t>
  </si>
  <si>
    <t>ENCANADOR OU BOMBEIRO HIDRÁULICO COM ENCARGOS COMPLEMENTARES</t>
  </si>
  <si>
    <t xml:space="preserve">BANCADA GRANITO CINZA POLIDO, 400X60CM PADRÃO POPULAR, COM 4 CUBAS DE EMBUTIR OVAL EM LOUÇA BRANCA, INCLUINDO VÁLVULA E SIFÃO TIPO GARRAFA EM METAL CROMADO - FORNECIMENTO E INSTALAÇÃO. </t>
  </si>
  <si>
    <t>COMPOSIÇÃO 44</t>
  </si>
  <si>
    <t>MASSA PLASTICA PARA MARMORE/GRANITO</t>
  </si>
  <si>
    <t>BUCHA DE NYLON SEM ABA S10, COM PARAFUSO DE 6,10 X 65 MM EM ACO ZINCADO COM ROSCA SOBERBA, CABECA CHATA E FENDA PHILLIPS</t>
  </si>
  <si>
    <t>GRANITO PARA BANCADA, POLIDO, TIPO ANDORINHA/ QUARTZ/ CASTELO/ CORUMBA OU OUTROS EQUIVALENTES DA REGIAO, E=  *2,5* CM</t>
  </si>
  <si>
    <t>REJUNTE EPOXI BRANCO</t>
  </si>
  <si>
    <t>CUBA DE EMBUTIR OVAL EM LOUÇA BRANCA, 35 X 50CM OU EQUIVALENTE, INCLUSO VÁLVULA EM METAL CROMADO E SIFÃO FLEXÍVEL EM PVC - FORNECIMENTO E INSTALAÇÃO. AF_01/2020</t>
  </si>
  <si>
    <t>ENGATE FLEXÍVEL EM PLÁSTICO BRANCO, 1/2 X 40CM - FORNECIMENTO E INSTALAÇÃO. AF_01/2020</t>
  </si>
  <si>
    <t>ABERTURA PARA ENCAIXE DE CUBA OU LAVATORIO EM BANCADA DE MARMORE/ GRANITO OU OUTRO TIPO DE PEDRA NATURAL</t>
  </si>
  <si>
    <t>FURO PARA TORNEIRA OU OUTROS ACESSORIOS  EM BANCADA DE MARMORE/ GRANITO OU OUTRO TIPO DE PEDRA NATURAL</t>
  </si>
  <si>
    <t>MARMORISTA/GRANITEIRO COM ENCARGOS COMPLEMENTARES</t>
  </si>
  <si>
    <t>BANCADA EM GRANITO PARA COPA DE  620 X 60 CM, COM CUBA DE EMBUTIR DE AÇO, VÁLVULA E SIFÃO, ENGATE FLEXÍVEL 30 CM, TORNEIRA CROMADA, DE MESA, 1/2 OU 3/4. FORNEC. E INSTALAÇÃO.</t>
  </si>
  <si>
    <t>COMPOSIÇÃO 45</t>
  </si>
  <si>
    <t>ENGATE FLEXÍVEL EM PLÁSTICO BRANCO, 1/2 X 30CM - FORNECIMENTO E INSTALAÇÃO. AF_01/2020</t>
  </si>
  <si>
    <t>ALVENARIA DE VEDAÇÃO DE BLOCOS CERÂMICOS FURADOS NA HORIZONTAL DE 9X19X19 CM (ESPESSURA 9 CM) E ARGAMASSA DE ASSENTAMENTO COM PREPARO EM BETONEIRA. AF_12/2021</t>
  </si>
  <si>
    <t>CHAPISCO APLICADO EM ALVENARIAS E ESTRUTURAS DE CONCRETO INTERNAS, COM COLHER DE PEDREIRO.  ARGAMASSA TRAÇO 1:3 COM PREPARO MANUAL. AF_06/2014</t>
  </si>
  <si>
    <t>EMBOÇO, PARA RECEBIMENTO DE CERÂMICA, EM ARGAMASSA TRAÇO 1:2:8, PREPARO MANUAL, APLICADO MANUALMENTE EM FACES INTERNAS DE PAREDES, PARA AMBIENTE COM ÁREA MENOR QUE 5M2, ESPESSURA DE 10MM, COM EXECUÇÃO DE TALISCAS. AF_06/2014</t>
  </si>
  <si>
    <t>REVESTIMENTO CERÂMICO PARA PAREDES INTERNAS COM PLACAS TIPO ESMALTADA EXTRA DE DIMENSÕES 20X20 CM APLICADAS EM AMBIENTES DE ÁREA MAIOR QUE 5 M² NA ALTURA INTEIRA DAS PAREDES. AF_06/2014</t>
  </si>
  <si>
    <t>TORNEIRA CROMADA DE MESA, 1/2 OU 3/4, PARA LAVATÓRIO, PADRÃO POPULAR - FORNECIMENTO E INSTALAÇÃO. AF_01/2020</t>
  </si>
  <si>
    <t>SIFÃO DO TIPO FLEXÍVEL EM PVC 1  X 1.1/2  - FORNECIMENTO E INSTALAÇÃO. AF_01/2020</t>
  </si>
  <si>
    <t>1744</t>
  </si>
  <si>
    <t>CUBA ACO INOX (AISI 304) DE EMBUTIR COM VALVULA 3 1/2 ", DE *40 X 34 X 12* CM</t>
  </si>
  <si>
    <t>11795</t>
  </si>
  <si>
    <t>20231</t>
  </si>
  <si>
    <t>RODAPE OU RODABANCADA EM GRANITO, POLIDO, TIPO ANDORINHA/ QUARTZ/ CASTELO/ CORUMBA OU OUTROS EQUIVALENTES DA REGIAO, H= 10 CM, E=  *2,0* CM</t>
  </si>
  <si>
    <t>4823</t>
  </si>
  <si>
    <t>88309</t>
  </si>
  <si>
    <t xml:space="preserve">BANCADA GRANITO CINZA POLIDO, PADRÃO POPULAR, COM RODABANCA E MÃO FRANCESA - FORNECIMENTO E INSTALAÇÃO. </t>
  </si>
  <si>
    <t>COMPOSIÇÃO 46</t>
  </si>
  <si>
    <t xml:space="preserve">BANCADA GRANITO CINZA POLIDO, 160X60CM PADRÃO POPULAR, COM UMA CUBAS DE EMBUTIR EM AÇO INOXIDAVEL, INCLUINDO VÁLVULA E SIFÃO TIPO GARRAFA EM METAL CROMADO - FORNECIMENTO E INSTALAÇÃO. </t>
  </si>
  <si>
    <t>COMPOSIÇÃO 47</t>
  </si>
  <si>
    <t>CUBA DE EMBUTIR DE AÇO INOXIDÁVEL MÉDIA, INCLUSO VÁLVULA TIPO AMERICANA E SIFÃO TIPO GARRAFA EM METAL CROMADO - FORNECIMENTO E INSTALAÇÃO. AF_01/2020</t>
  </si>
  <si>
    <t>BANCADA EM AÇO INOX PARA COPA DE  235 X 60 CM, COM CUBA DE EMBUTIR DE AÇO, VÁLVULA E SIFÃO, ENGATE FLEXÍVEL 30 CM, TORNEIRA CROMADA, DE MESA, 1/2 OU 3/4. FORNEC. E INSTALAÇÃO.</t>
  </si>
  <si>
    <t>COMPOSIÇÃO 48</t>
  </si>
  <si>
    <t>UN</t>
  </si>
  <si>
    <t>ARMAÇÃO DE ESTRUTURAS DE CONCRETO ARMADO, EXCETO VIGAS, PILARES, LAJES E FUNDAÇÕES, UTILIZANDO AÇO CA-50 DE 6,3 MM - MONTAGEM. AF_12/2015</t>
  </si>
  <si>
    <t>CONCRETO FCK = 15MPA, TRAÇO 1:3,4:3,5 (CIMENTO/ AREIA MÉDIA/ BRITA 1)  - PREPARO MANUAL. AF_07/2016</t>
  </si>
  <si>
    <t>FABRICAÇÃO, MONTAGEM E DESMONTAGEM DE FÔRMA PARA VIGA BALDRAME, EM MADEIRA SERRADA, E=25 MM, 4 UTILIZAÇÕES. AF_06/2017</t>
  </si>
  <si>
    <t>BANCADA/BANCA/PIA DE ACO INOXIDAVEL (AISI 430) COM 1 CUBA CENTRAL, COM VALVULA, ESCORREDOR DUPLO, DE *0,55 X 1,20* M</t>
  </si>
  <si>
    <t>h</t>
  </si>
  <si>
    <t>TOALHEIRO PLASTICO TIPO DISPENSER PARA PAPEL TOALHA INTERFOLHADO. FORNECIMENTO E INSTALAÇÃO</t>
  </si>
  <si>
    <t>COMPOSIÇÃO 49</t>
  </si>
  <si>
    <t>TOALHEIRO PLASTICO TIPO DISPENSER PARA PAPEL TOALHA INTERFOLHADO</t>
  </si>
  <si>
    <t>FORNECIMENTO DE ESPELHO DE 80 X 50 CM PARA BANHEIRO</t>
  </si>
  <si>
    <t>COMPOSIÇÃO 50</t>
  </si>
  <si>
    <t>SUPORTE DE FIXACAO PARA ESPELHO / PLACA 4" X 4", PARA 6 MODULOS, PARA INSTALACAO DE TOMADAS E INTERRUPTORES (SOMENTE SUPORTE)</t>
  </si>
  <si>
    <t>ESPELHO CRISTAL E = 4 MM</t>
  </si>
  <si>
    <t>VIDRACEIRO COM ENCARGOS COMPLEMENTARES</t>
  </si>
  <si>
    <t>COIFA ACOPLADA AO TETO, 120 X 60 CM, OU EQUIVALENTE. FORNCECIMENTO E INSTALAÇÃO</t>
  </si>
  <si>
    <t>COMPOSIÇÃO 51</t>
  </si>
  <si>
    <t>COIFA NARDELLI ILHA / TETO RETANGULAR INOX 120 CM, OU EQUIVALENTE.</t>
  </si>
  <si>
    <t>FORNECIMENTO E INSTALAÇÃO DE ESQUADRIA VIDRO FIXO 6MM, COM ESTRUTURA EM ALUMINIO E BANCADA EM GRANITO.</t>
  </si>
  <si>
    <t>m²</t>
  </si>
  <si>
    <t>COMPOSIÇÃO 52</t>
  </si>
  <si>
    <t>JANELA FIXA DE ALUMÍNIO PARA VIDRO, COM VIDRO, BATENTE E FERRAGENS. EXCLUSIVE ACABAMENTO, ALIZAR E CONTRAMARCO. FORNECIMENTO E INSTALAÇÃO. AF_12/2019</t>
  </si>
  <si>
    <t>SUPORTE MÃO FRANCESA EM AÇO, ABAS IGUAIS 30 CM, CAPACIDADE MINIMA 60 KG, BRANCO - FORNECIMENTO E INSTALAÇÃO. AF_01/2020</t>
  </si>
  <si>
    <t>FORNECIMENTO E INSTALAÇÃO DE BANCO COM FUNDAÇÃO EM CONCRETO CICLÓPICO E ESTRUTURA EM CONCRETO ARMADO, COM DIMENSÕES DE 2,00X0,50M, INCLUINDO PINTURA ACRILICA.</t>
  </si>
  <si>
    <t>COMPOSIÇÃO 53</t>
  </si>
  <si>
    <t>ESCAVAÇÃO MANUAL DE VALA COM PROFUNDIDADE MENOR OU IGUAL A 1,30 M. AF_02/2021</t>
  </si>
  <si>
    <t>LASTRO DE CONCRETO MAGRO, APLICADO EM BLOCOS DE COROAMENTO OU SAPATAS, ESPESSURA DE 5 CM. AF_08/2017</t>
  </si>
  <si>
    <t>CONCRETO CICLÓPICO FCK = 15MPA, 30% PEDRA DE MÃO EM VOLUME REAL, INCLUSIVE LANÇAMENTO. AF_05/2021</t>
  </si>
  <si>
    <t>ARMAÇÃO DE ESTRUTURAS DE CONCRETO ARMADO, EXCETO VIGAS, PILARES, LAJES E FUNDAÇÕES, UTILIZANDO AÇO CA-60 DE 5,0 MM - MONTAGEM. AF_12/2015</t>
  </si>
  <si>
    <t>ARMAÇÃO DE ESTRUTURAS DE CONCRETO ARMADO, EXCETO VIGAS, PILARES, LAJES E FUNDAÇÕES, UTILIZANDO AÇO CA-50 DE 8,0 MM - MONTAGEM. AF_12/2015</t>
  </si>
  <si>
    <t>PINTURA DE PISO COM TINTA ACRÍLICA, APLICAÇÃO MANUAL, 2 DEMÃOS, INCLUSO FUNDO PREPARADOR. AF_05/2021</t>
  </si>
  <si>
    <t>SERVIÇO DE SINALIZAÇÃO DE SOLO PARA EQUIPAMENTOS DE COMBATE A INCENDIO, E = 5 CM.</t>
  </si>
  <si>
    <t>COMPOSIÇÃO 54</t>
  </si>
  <si>
    <t>TINTA ACRILICA PREMIUM PARA PISO</t>
  </si>
  <si>
    <t>L</t>
  </si>
  <si>
    <t>FITA CREPE ROLO DE 25 MM X 50 M</t>
  </si>
  <si>
    <t>PINTOR COM ENCARGOS COMPLEMENTARES</t>
  </si>
  <si>
    <t>88316</t>
  </si>
  <si>
    <t>FORNECIMENTO E INSTALAÇÃO DE GRADIL COM MONTANTES EM TUBO DE AÇO GALVANIZADO 3", TELA DE ARAME GALVANIZADO MALHA 5X5CM, H= 2M, INCLUINDO BLOCOS DE FUNDAÇÃO, BALDRAME E PINTURA ANTICORROSIVA APLICADA NA ESTRUTURA METÁLICA.</t>
  </si>
  <si>
    <t>COMPOSIÇÃO 55</t>
  </si>
  <si>
    <t>ESCAVAÇÃO MANUAL PARA BLOCO DE COROAMENTO OU SAPATA, COM PREVISÃO DE FÔRMA. AF_06/2017</t>
  </si>
  <si>
    <t>TUBO ACO GALVANIZADO COM COSTURA, CLASSE MEDIA, DN 3", E = *4,05* MM, PESO *8,47* KG/M (NBR 5580)</t>
  </si>
  <si>
    <t>considerou-se um tubo de 2,60 espaçados a cada 2,50m</t>
  </si>
  <si>
    <t>TELA DE ARAME GALV QUADRANGULAR / LOSANGULAR, FIO 2,77 MM (12 BWG), MALHA 5 X 5 CM, H = 2 M</t>
  </si>
  <si>
    <t>ARAME GALVANIZADO 12 BWG, D = 2,76 MM (0,048 KG/M) OU 14 BWG, D = 2,11 MM (0,026 KG/M)</t>
  </si>
  <si>
    <t>ELETRODO REVESTIDO AWS - E7018, DIAMETRO IGUAL A 4,00 MM</t>
  </si>
  <si>
    <t>SERRALHEIRO COM ENCARGOS COMPLEMENTARES</t>
  </si>
  <si>
    <t>88242</t>
  </si>
  <si>
    <t>FORNECIMENTO E INSTALAÇÃO DE BRISE HORIZONTAL EM MADEIRA DE LEI COM PINTURA EM VERNIZ, COM ESTRUTURA METÁLICAS EM PERFIS U - 75X4 E=2,35MM E INCLUINDO PINTURA ANTICORROSIVA SOBRE PERFIL METÁLICO - DIMENSÕES: (6,13+2,05)X6,26M - BRISE SOLEIL 01</t>
  </si>
  <si>
    <t>COMPOSIÇÃO 56</t>
  </si>
  <si>
    <t xml:space="preserve">PERFIL "U" SIMPLES DE ACO GALVANIZADO DOBRADO 75 X *40* MM, E = 2,65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</si>
  <si>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kg</t>
  </si>
  <si>
    <t xml:space="preserve">TABUA APARELHADA *2,5 X 30* CM, EM MACARANDUBA, ANGELIM OU EQUIVALENTE DA REGIAO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</si>
  <si>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comp. Total</t>
  </si>
  <si>
    <t xml:space="preserve">PERFIL CANTONEIRA L, LISA, EM ACO, 25 X 30 MM, E = 0,5 MM, PARA ESTRUTURA DRYWALL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</si>
  <si>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1319</t>
  </si>
  <si>
    <t xml:space="preserve">CHAPA DE ACO FINA A QUENTE BITOLA MSG 3/16 ", E = 4,75 MM (38,00 KG/M2)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</si>
  <si>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GRAUTE FGK=20 MPA; TRAÇO 1:1,6:1,9 (CIMENTO/ AREIA GROSSA/ BRITA 0/ ADITIVO) - PREPARO MECÂNICO COM BETONEIRA 400 L. AF_02/2015</t>
  </si>
  <si>
    <t>m³</t>
  </si>
  <si>
    <t>área de chapa</t>
  </si>
  <si>
    <t xml:space="preserve">CHUMBADOR DE ACO, DIAMETRO 5/8", COMPRIMENTO 6", COM PORCA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</si>
  <si>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102234</t>
  </si>
  <si>
    <t>PINTURA IMUNIZANTE PARA MADEIRA, 2 DEMÃOS. AF_01/2021</t>
  </si>
  <si>
    <t>PINTURA COM TINTA ALQUÍDICA DE FUNDO (TIPO ZARCÃO) APLICADA A ROLO OU PINCEL SOBRE SUPERFÍCIES METÁLICAS (EXCETO PERFIL) EXECUTADO EM OBRA (POR DEMÃO). AF_01/2020</t>
  </si>
  <si>
    <t>PINTURA VERNIZ (INCOLOR) ALQUÍDICO EM MADEIRA, USO INTERNO E EXTERNO, 2 DEMÃOS. AF_01/2021</t>
  </si>
  <si>
    <t>perimetro</t>
  </si>
  <si>
    <t>AUXILIAR DE SERRALHEIRO COM ENCARGOS COMPLEMENTARES</t>
  </si>
  <si>
    <t>MONTADOR DE ESTRUTURA METÁLICA COM ENCARGOS COMPLEMENTARES</t>
  </si>
  <si>
    <t>FORNECIMENTO E INSTALAÇÃO DE TUBO DE ESPUMA DE POLIETILENO EXPANDIDO FLEXIVEL PARA ISOLAMENTO TÉRMICO DE TUBULAÇÃO DE AR DN 7/8" E=10MM</t>
  </si>
  <si>
    <t>COMPOSIÇÃO 57</t>
  </si>
  <si>
    <t xml:space="preserve">TUBO DE ESPUMA DE POLIETILENO EXPANDIDO FLEXIVEL PARA ISOLAMENTO TERMICO DE TUBULACAO DE AR CONDICIONADO, AGUA QUENTE,  DN 7/8", E= 10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</si>
  <si>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FORNECIMENTO E INSTALAÇÃO DE TUBO DE ESPUMA DE POLIETILENO EXPANDIDO FLEXIVEL PARA ISOLAMENTO TÉRMICO DE TUBULAÇÃO DE AR DN 3/4" E=10MM</t>
  </si>
  <si>
    <t>COMPOSIÇÃO 58</t>
  </si>
  <si>
    <t xml:space="preserve">TUBO DE ESPUMA DE POLIETILENO EXPANDIDO FLEXIVEL PARA ISOLAMENTO TERMICO DE TUBULACAO DE AR CONDICIONADO, AGUA QUENTE,  DN 3/4", E= 10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</si>
  <si>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FORNECIMENTO E INSTALAÇÃO DE TUBO DE ESPUMA DE POLIETILENO EXPANDIDO FLEXIVEL PARA ISOLAMENTO TÉRMICO DE TUBULAÇÃO DE AR DN 5/8" E=10MM</t>
  </si>
  <si>
    <t>COMPOSIÇÃO 59</t>
  </si>
  <si>
    <t xml:space="preserve">TUBO DE ESPUMA DE POLIETILENO EXPANDIDO FLEXIVEL PARA ISOLAMENTO TERMICO DE TUBULACAO DE AR CONDICIONADO, AGUA QUENTE,  DN 1 5/8", E= 10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</si>
  <si>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FORNECIMENTO E INSTALAÇÃO DE TUBO DE ESPUMA DE POLIETILENO EXPANDIDO FLEXIVEL PARA ISOLAMENTO TÉRMICO DE TUBULAÇÃO DE AR DN 1/2" E=10MM</t>
  </si>
  <si>
    <t>COMPOSIÇÃO 60</t>
  </si>
  <si>
    <t xml:space="preserve">TUBO DE ESPUMA DE POLIETILENO EXPANDIDO FLEXIVEL PARA ISOLAMENTO TERMICO DE TUBULACAO DE AR CONDICIONADO, AGUA QUENTE,  DN 1/2", E= 10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</si>
  <si>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FORNECIMENTO E INSTALAÇÃO DE TUBO DE ESPUMA DE POLIETILENO EXPANDIDO FLEXIVEL PARA ISOLAMENTO TÉRMICO DE TUBULAÇÃO DE AR DN 3/8" E=10MM</t>
  </si>
  <si>
    <t>COMPOSIÇÃO 61</t>
  </si>
  <si>
    <t xml:space="preserve">TUBO DE ESPUMA DE POLIETILENO EXPANDIDO FLEXIVEL PARA ISOLAMENTO TERMICO DE TUBULACAO DE AR CONDICIONADO, AGUA QUENTE,  DN 3/8", E= 10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</si>
  <si>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FORNECIMENTO E INSTALAÇÃO DE TUBO DE ESPUMA DE POLIETILENO EXPANDIDO FLEXIVEL PARA ISOLAMENTO TÉRMICO DE TUBULAÇÃO DE AR DN 1/4" E=10MM</t>
  </si>
  <si>
    <t>COMPOSIÇÃO 62</t>
  </si>
  <si>
    <t xml:space="preserve">TUBO DE ESPUMA DE POLIETILENO EXPANDIDO FLEXIVEL PARA ISOLAMENTO TERMICO DE TUBULACAO DE AR CONDICIONADO, AGUA QUENTE,  DN 1/4", E= 10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</si>
  <si>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CORRIMÃO SIMPLES, DIÂMETRO EXTERNO = 1 1/2", EM ALUMÍNIO. AF_04/2019_P</t>
  </si>
  <si>
    <t>COMPOSIÇÃO 63</t>
  </si>
  <si>
    <t>ELETRODO REVESTIDO AWS - E6013, DIAMETRO IGUAL A 2,50 MM</t>
  </si>
  <si>
    <t>SUPORTE PARA CALHA DE 150 MM EM FERRO GALVANIZADO</t>
  </si>
  <si>
    <t xml:space="preserve">TUBO ACO GALVANIZADO COM COSTURA, CLASSE LEVE, DN 50 MM ( 2"),  E = 3,00 MM,  *4,40* KG/M (NBR 5580)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</si>
  <si>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FORNECIMENTO DE CONECTOR MACHO RJ - 45, CATEGORIA 6</t>
  </si>
  <si>
    <t>COMPOSIÇÃO 64</t>
  </si>
  <si>
    <t>CONECTOR MACHO RJ - 45, CATEGORIA 6</t>
  </si>
  <si>
    <t>TERMINAL DE VENTILACAO, 50 MM, SERIE NORMAL, ESGOTO PREDIAL. FORNECIMENTO E INSTALAÇÃO.</t>
  </si>
  <si>
    <t>COMPOSIÇÃO 65</t>
  </si>
  <si>
    <t>TERMINAL DE VENTILACAO, 50 MM, SERIE NORMAL, ESGOTO PREDIAL</t>
  </si>
  <si>
    <t xml:space="preserve">UN    </t>
  </si>
  <si>
    <t>ADESIVO PLASTICO PARA PVC, FRASCO COM *850* GR</t>
  </si>
  <si>
    <t>PASTA LUBRIFICANTE PARA TUBOS E CONEXOES COM JUNTA ELASTICA, EMBALAGEM DE *400* GR (USO EM PVC, ACO, POLIETILENO E OUTROS)</t>
  </si>
  <si>
    <t>LIXA D'AGUA EM FOLHA, GRAO 100</t>
  </si>
  <si>
    <t>TAMPA EM ESTRUTURA DE AÇO (CANTONEIRA 2"X2"X1/4" E CHAPA GSG 1,95MM) - PARA CASA DE BOMBA</t>
  </si>
  <si>
    <t>COMPOSIÇÃO 66</t>
  </si>
  <si>
    <t xml:space="preserve">CANTONEIRA ACO ABAS IGUAIS (QUALQUER BITOLA), ESPESSURA ENTRE 1/8" E 1/4" </t>
  </si>
  <si>
    <t xml:space="preserve">CHAPA DE ACO FINA A QUENTE BITOLA MSG 13, E = 2,25 MM (18,00 KG/M2) </t>
  </si>
  <si>
    <t xml:space="preserve">CONCRETO FCK = 15MPA, TRAÇO 1:3,4:3,5 (EM MASSA SECA DE CIMENTO/ AREIA MÉDIA/ BRITA 1) - PREPARO MECÂNICO COM BETONEIRA 400 L. AF_05/2021 </t>
  </si>
  <si>
    <t xml:space="preserve">SERRALHEIRO COM ENCARGOS COMPLEMENTARES </t>
  </si>
  <si>
    <t xml:space="preserve">AUXILIAR DE SERRALHEIRO COM ENCARGOS COMPLEMENTARES </t>
  </si>
  <si>
    <t xml:space="preserve">SOLDADOR COM ENCARGOS COMPLEMENTARES </t>
  </si>
  <si>
    <t>TAMPA EM ESTRUTURA DE AÇO (CANTONEIRA 2"X2"X1/4" E CHAPA GSG 1,95MM) COM APOIO EM CONCRETO - PARA CISTERNA</t>
  </si>
  <si>
    <t>COMPOSIÇÃO 67</t>
  </si>
  <si>
    <t>FORNECIMENTO E INSTALAÇÃO DE SIRENE INDUSTRIAL SONORA MOTORIZADA</t>
  </si>
  <si>
    <t>COMPOSIÇÃO 68</t>
  </si>
  <si>
    <t>FITA ISOLANTE ADESIVA ANTICHAMA, USO ATE 750 V, EM ROLO DE 19 MM X 5 M</t>
  </si>
  <si>
    <t xml:space="preserve">UND </t>
  </si>
  <si>
    <t xml:space="preserve">SIRENE INDUSTRIAL SONORA MOTORIZADA MS-290 110DB 220VAC </t>
  </si>
  <si>
    <t xml:space="preserve">AUXILIAR DE ELETRICISTA COM ENCARGOS COMPLEMENTARES </t>
  </si>
  <si>
    <t xml:space="preserve">ELETRICISTA COM ENCARGOS COMPLEMENTARES  </t>
  </si>
  <si>
    <t>Fornecimento e instação de Acionador de Sirene</t>
  </si>
  <si>
    <t>COMPOSIÇÃO 69</t>
  </si>
  <si>
    <t xml:space="preserve">ACIONADOR DE SIRENES </t>
  </si>
  <si>
    <t>FORNECIMENTO E INSTALAÇÃO DE BOTOEIRA PARA ACIONAMENTO DE BOMBA DE INCENDIO QUEBRA VIDRO</t>
  </si>
  <si>
    <t>COMPOSIÇÃO 70</t>
  </si>
  <si>
    <t xml:space="preserve">BOTOEIRA ALARME ACIONAMENTO MANUAL COM QUEBRA DE VIDRO </t>
  </si>
  <si>
    <t>FORNECIMENTO E INSTALAÇÃO DE PRESSOSTATO ALTA/BAIXA COM REARME MANUAL REF. KP15</t>
  </si>
  <si>
    <t>COMPOSIÇÃO 71</t>
  </si>
  <si>
    <t xml:space="preserve">PRESSOSTATO ALTA/BAIXA COM REARME MANUAL REF. KP15 </t>
  </si>
  <si>
    <t xml:space="preserve">AUXILIAR DE ENCANADOR OU BOMBEIRO HIDRÁULICO COM ENCARGOS COMPLEMENTARES </t>
  </si>
  <si>
    <t xml:space="preserve">ENCANADOR OU BOMBEIRO HIDRÁULICO COM ENCARGOS COMPLEMENTARES </t>
  </si>
  <si>
    <t>Fornecimento e instalação de União assento conico galvanizado 2.1/2"</t>
  </si>
  <si>
    <t>COMPOSIÇÃO 72</t>
  </si>
  <si>
    <t xml:space="preserve">UNIAO COM ASSENTO CONICO DE FERRO LONGO (MACHO-FEMEA), DIAMETRO 2 1/2" </t>
  </si>
  <si>
    <t xml:space="preserve">FITA VEDA ROSCA EM ROLOS DE 18 MM X 50 M (L X C) </t>
  </si>
  <si>
    <t xml:space="preserve">FUNDO ANTICORROSIVO PARA METAIS FERROSOS (ZARCAO) </t>
  </si>
  <si>
    <t>Fornecimento e instalação de União assento conico galvanizado 3"</t>
  </si>
  <si>
    <t>COMPOSIÇÃO 73</t>
  </si>
  <si>
    <t xml:space="preserve">UNIAO COM ASSENTO CONICO DE FERRO LONGO (MACHO-FEMEA), DIAMETRO 3' </t>
  </si>
  <si>
    <t>FORNECIMENTO E INSTALAÇÃO DE TÊ DE REDUCAO DE FERRO GALVANIZADO, COM ROSCA BSP, DE 3" X 2 1/2"</t>
  </si>
  <si>
    <t>COMPOSIÇÃO 74</t>
  </si>
  <si>
    <t xml:space="preserve">TE DE REDUCAO DE FERRO GALVANIZADO, COM ROSCA BSP, DE 3" X 2 1/2" </t>
  </si>
  <si>
    <t>FORNECIMENTO E INSTALAÇÃO DE PORTAO DE ABRIR / GIRO, EM GRADIL DE METALON REDONDO DE 3/4"  VERTICAL, COM REQUADRO, ACABAMENTO NATURAL - COMPLETO, INCLUSO PINTURA ANTICORROSIVA APLICADA NA ESTRUTURA METÁLICA.</t>
  </si>
  <si>
    <t>COMPOSIÇÃO 75</t>
  </si>
  <si>
    <t>PORTAO DE ABRIR / GIRO, EM GRADIL DE METALON REDONDO DE 3/4"  VERTICAL, COM REQUADRO, ACABAMENTO NATURAL - COMPLETO</t>
  </si>
  <si>
    <t>FORNECIMENTO E INSTALAÇÃO DE BRISE HORIZONTAL EM MADEIRA DE LEI COM PINTURA EM VERNIZ, COM ESTRUTURA METÁLICAS EM PERFIS U - 75X4 E=2,35MM E INCLUINDO PINTURA ANTICORROSIVA SOBRE PERFIL METÁLICO - DIMENSÕES:(4,20+4,15)X 6,26M BRISE SOLEIL 02</t>
  </si>
  <si>
    <t>COMPOSIÇÃO 76</t>
  </si>
  <si>
    <t>AJUDANTE DE MONTADOR COM ENCARGOS COMPLEMENTARES</t>
  </si>
  <si>
    <t>PAINEL RIPADO COM SARRAFOS DE DIMENSÕES 3X7 CM PINTADOS COM IMUNIZANTE E ENVERNIZADOS, FIXADOS NAS PAREDES COM PARABOLT DIÂMETRO 3/8"</t>
  </si>
  <si>
    <t>COMPOSIÇÃO 77</t>
  </si>
  <si>
    <t>SARRAFO APARELHADO *2 X 10* CM, EM MACARANDUBA, ANGELIM OU EQUIVALENTE DA REGIAO</t>
  </si>
  <si>
    <t>PREGO DE ACO POLIDO COM CABECA 16 X 24 (2 1/4 X 12)</t>
  </si>
  <si>
    <t>und/kg</t>
  </si>
  <si>
    <t>PARAFUSO DE ACO TIPO CHUMBADOR PARABOLT, DIAMETRO 3/8", COMPRIMENTO 75 MM</t>
  </si>
  <si>
    <t>GRAUTE FGK=15 MPA; TRAÇO 1:2,2:2,5:0,3 (EM MASSA SECA DE CIMENTO/ AREIA GROSSA/ BRITA 0/ ADITIVO) - PREPARO MECÂNICO COM BETONEIRA 400 L. AF_09/2021</t>
  </si>
  <si>
    <t>PINTURA VERNIZ (INCOLOR) POLIURETÂNICO (RESINA ALQUÍDICA MODIFICADA) EM MADEIRA, 2 DEMÃOS. AF_01/2021</t>
  </si>
  <si>
    <t>ELEMENTO DECORATIVO EM ESTRUTURA DE METALON REVESTIDO EM ACM COM ACABAMENTO AMADEIRADO TIPO "CASTANHA", RETANGULAR, COM DIMENSÕES 0,30X0,50X2,90M</t>
  </si>
  <si>
    <t>COMPOSIÇÃO 78</t>
  </si>
  <si>
    <t>Painel em ACM - Estruturado (fachadas)</t>
  </si>
  <si>
    <t>Descrição do ítem</t>
  </si>
  <si>
    <t>FORNECIMENTO E INSTALAÇÃO DE ELETROCALHA COM CONEXÕES E SUPORTE DE FIXAÇÃO</t>
  </si>
  <si>
    <t>COMPOSIÇÃO 79</t>
  </si>
  <si>
    <t>ARRUELA LISA, REDONDA, DE LATAO POLIDO, DIAMETRO NOMINAL 5/8", DIAMETRO EXTERNO = 34 MM, DIAMETRO DO FURO = 17 MM, ESPESSURA = *2,5* MM</t>
  </si>
  <si>
    <t>CHUMBADOR, DIAMETRO 1/4" COM PARAFUSO 1/4" X 40 MM</t>
  </si>
  <si>
    <t>PERFILADO PERFURADO DUPLO 38 X 76 MM, CHAPA 22</t>
  </si>
  <si>
    <t>Eletrocalha de metal curve "U"perf. 50x50 - 3m</t>
  </si>
  <si>
    <t>Eletrocalha de metal curve "T" tipo "U" perf. 50 - 3m</t>
  </si>
  <si>
    <t>Eletrocalha de metal curve "L" desc tipo "U" perf. 50 - 3m</t>
  </si>
  <si>
    <t>VERGALHAO ZINCADO ROSCA TOTAL, 1/4 " (6,3 MM)</t>
  </si>
  <si>
    <t>PORCA ZINCADA, SEXTAVADA, DIAMETRO 1/4"</t>
  </si>
  <si>
    <t>Painel para fachada em Aço Corten com estrutura em metalon para fixação. Dimensões: 1,0x6,0m - Fornecimento e Instalação</t>
  </si>
  <si>
    <t>COMPOSIÇÃO 80</t>
  </si>
  <si>
    <t>Painel para fachada em Aço Corten com estrutura em metalon para fixação. Dimensões: 1,0x6,0m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</si>
</sst>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_(* #,##0.00_);_(* \(#,##0.00\);_(* &quot;-&quot;??_);_(@_)"/>
    <numFmt numFmtId="166" formatCode="&quot;R$&quot;\ #,##0.00"/>
    <numFmt numFmtId="167" formatCode="&quot;R$&quot;#,##0.00_);[Red]\(&quot;R$&quot;#,##0.00\)"/>
    <numFmt numFmtId="168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2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4" fontId="4" fillId="2" borderId="5" xfId="2" applyNumberFormat="1" applyFont="1" applyFill="1" applyBorder="1" applyAlignment="1">
      <alignment horizontal="left" vertical="center" wrapText="1"/>
    </xf>
    <xf numFmtId="4" fontId="4" fillId="2" borderId="6" xfId="2" applyNumberFormat="1" applyFont="1" applyFill="1" applyBorder="1" applyAlignment="1">
      <alignment horizontal="left" vertical="center" wrapText="1"/>
    </xf>
    <xf numFmtId="4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0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" fontId="4" fillId="2" borderId="8" xfId="2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" fontId="4" fillId="2" borderId="11" xfId="2" applyNumberFormat="1" applyFont="1" applyFill="1" applyBorder="1" applyAlignment="1">
      <alignment horizontal="left" vertical="center" wrapText="1"/>
    </xf>
    <xf numFmtId="4" fontId="4" fillId="2" borderId="12" xfId="2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" fontId="4" fillId="2" borderId="10" xfId="2" applyNumberFormat="1" applyFont="1" applyFill="1" applyBorder="1" applyAlignment="1">
      <alignment horizontal="left" vertical="center" wrapText="1"/>
    </xf>
    <xf numFmtId="4" fontId="4" fillId="2" borderId="3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" fillId="2" borderId="18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2" fillId="2" borderId="19" xfId="3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8" fontId="2" fillId="3" borderId="7" xfId="3" applyNumberFormat="1" applyFont="1" applyFill="1" applyBorder="1" applyAlignment="1">
      <alignment horizontal="center" vertical="center"/>
    </xf>
    <xf numFmtId="8" fontId="3" fillId="3" borderId="7" xfId="3" applyNumberFormat="1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2" fillId="3" borderId="18" xfId="3" applyFont="1" applyFill="1" applyBorder="1" applyAlignment="1">
      <alignment horizontal="center" vertical="center"/>
    </xf>
    <xf numFmtId="0" fontId="2" fillId="3" borderId="9" xfId="3" applyFont="1" applyFill="1" applyBorder="1" applyAlignment="1">
      <alignment vertical="center"/>
    </xf>
    <xf numFmtId="0" fontId="2" fillId="3" borderId="10" xfId="3" applyFont="1" applyFill="1" applyBorder="1" applyAlignment="1">
      <alignment vertical="center"/>
    </xf>
    <xf numFmtId="0" fontId="2" fillId="3" borderId="3" xfId="3" applyFont="1" applyFill="1" applyBorder="1" applyAlignment="1">
      <alignment vertical="center"/>
    </xf>
    <xf numFmtId="0" fontId="2" fillId="3" borderId="7" xfId="3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3" fillId="3" borderId="7" xfId="3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left" vertical="center" wrapText="1"/>
    </xf>
    <xf numFmtId="0" fontId="7" fillId="3" borderId="10" xfId="3" applyFont="1" applyFill="1" applyBorder="1" applyAlignment="1">
      <alignment horizontal="left" vertical="center" wrapText="1"/>
    </xf>
    <xf numFmtId="0" fontId="7" fillId="3" borderId="3" xfId="3" applyFont="1" applyFill="1" applyBorder="1" applyAlignment="1">
      <alignment horizontal="left" vertical="center" wrapText="1"/>
    </xf>
    <xf numFmtId="0" fontId="3" fillId="3" borderId="7" xfId="3" applyFont="1" applyFill="1" applyBorder="1" applyAlignment="1">
      <alignment horizontal="center" vertical="center"/>
    </xf>
    <xf numFmtId="4" fontId="3" fillId="3" borderId="7" xfId="3" applyNumberFormat="1" applyFont="1" applyFill="1" applyBorder="1" applyAlignment="1">
      <alignment horizontal="center" vertical="center" wrapText="1"/>
    </xf>
    <xf numFmtId="44" fontId="3" fillId="0" borderId="7" xfId="3" applyNumberFormat="1" applyFont="1" applyFill="1" applyBorder="1" applyAlignment="1">
      <alignment horizontal="right" vertical="center" wrapText="1"/>
    </xf>
    <xf numFmtId="44" fontId="3" fillId="3" borderId="7" xfId="3" applyNumberFormat="1" applyFont="1" applyFill="1" applyBorder="1" applyAlignment="1">
      <alignment horizontal="right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left" vertical="center" wrapText="1"/>
    </xf>
    <xf numFmtId="0" fontId="7" fillId="3" borderId="5" xfId="3" applyFont="1" applyFill="1" applyBorder="1" applyAlignment="1">
      <alignment horizontal="left" vertical="center" wrapText="1"/>
    </xf>
    <xf numFmtId="0" fontId="7" fillId="3" borderId="6" xfId="3" applyFont="1" applyFill="1" applyBorder="1" applyAlignment="1">
      <alignment horizontal="left" vertical="center" wrapText="1"/>
    </xf>
    <xf numFmtId="0" fontId="3" fillId="3" borderId="4" xfId="3" applyFont="1" applyFill="1" applyBorder="1" applyAlignment="1">
      <alignment horizontal="center" vertical="center"/>
    </xf>
    <xf numFmtId="4" fontId="3" fillId="3" borderId="4" xfId="3" applyNumberFormat="1" applyFont="1" applyFill="1" applyBorder="1" applyAlignment="1">
      <alignment horizontal="center" vertical="center" wrapText="1"/>
    </xf>
    <xf numFmtId="44" fontId="3" fillId="0" borderId="4" xfId="3" applyNumberFormat="1" applyFont="1" applyFill="1" applyBorder="1" applyAlignment="1">
      <alignment horizontal="right" vertical="center" wrapText="1"/>
    </xf>
    <xf numFmtId="0" fontId="3" fillId="2" borderId="18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8" fontId="2" fillId="2" borderId="7" xfId="3" applyNumberFormat="1" applyFont="1" applyFill="1" applyBorder="1" applyAlignment="1">
      <alignment horizontal="center" vertical="center"/>
    </xf>
    <xf numFmtId="8" fontId="2" fillId="2" borderId="20" xfId="3" applyNumberFormat="1" applyFont="1" applyFill="1" applyBorder="1" applyAlignment="1">
      <alignment horizontal="right" vertical="center"/>
    </xf>
    <xf numFmtId="0" fontId="0" fillId="0" borderId="0" xfId="0" applyFill="1"/>
    <xf numFmtId="0" fontId="3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8" fontId="2" fillId="0" borderId="0" xfId="3" applyNumberFormat="1" applyFont="1" applyFill="1" applyBorder="1" applyAlignment="1">
      <alignment horizontal="center" vertical="center"/>
    </xf>
    <xf numFmtId="44" fontId="2" fillId="0" borderId="0" xfId="3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" fillId="2" borderId="2" xfId="3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3" fillId="3" borderId="2" xfId="3" applyFill="1" applyBorder="1" applyAlignment="1">
      <alignment horizontal="center" vertical="center" wrapText="1"/>
    </xf>
    <xf numFmtId="0" fontId="3" fillId="3" borderId="7" xfId="3" applyFill="1" applyBorder="1" applyAlignment="1">
      <alignment horizontal="center" vertical="center" wrapText="1"/>
    </xf>
    <xf numFmtId="0" fontId="3" fillId="3" borderId="10" xfId="3" applyFill="1" applyBorder="1" applyAlignment="1">
      <alignment horizontal="left" vertical="center" wrapText="1"/>
    </xf>
    <xf numFmtId="0" fontId="3" fillId="3" borderId="3" xfId="3" applyFill="1" applyBorder="1" applyAlignment="1">
      <alignment horizontal="left" vertical="center" wrapText="1"/>
    </xf>
    <xf numFmtId="0" fontId="3" fillId="3" borderId="7" xfId="3" applyFill="1" applyBorder="1" applyAlignment="1">
      <alignment horizontal="center" vertical="center"/>
    </xf>
    <xf numFmtId="164" fontId="3" fillId="3" borderId="7" xfId="3" applyNumberFormat="1" applyFill="1" applyBorder="1" applyAlignment="1">
      <alignment horizontal="center" vertical="center"/>
    </xf>
    <xf numFmtId="44" fontId="3" fillId="0" borderId="7" xfId="3" applyNumberFormat="1" applyFill="1" applyBorder="1" applyAlignment="1">
      <alignment horizontal="right" vertical="center"/>
    </xf>
    <xf numFmtId="0" fontId="3" fillId="3" borderId="10" xfId="3" applyFill="1" applyBorder="1" applyAlignment="1">
      <alignment horizontal="center" vertical="center" wrapText="1"/>
    </xf>
    <xf numFmtId="2" fontId="3" fillId="3" borderId="7" xfId="3" applyNumberFormat="1" applyFill="1" applyBorder="1" applyAlignment="1">
      <alignment horizontal="center" vertical="center"/>
    </xf>
    <xf numFmtId="0" fontId="3" fillId="3" borderId="7" xfId="3" applyFill="1" applyBorder="1" applyAlignment="1">
      <alignment horizontal="left" vertical="center" wrapText="1"/>
    </xf>
    <xf numFmtId="0" fontId="3" fillId="3" borderId="3" xfId="3" applyFill="1" applyBorder="1" applyAlignment="1">
      <alignment horizontal="center" vertical="center"/>
    </xf>
    <xf numFmtId="0" fontId="3" fillId="2" borderId="2" xfId="3" applyFill="1" applyBorder="1" applyAlignment="1">
      <alignment horizontal="center" vertical="center"/>
    </xf>
    <xf numFmtId="0" fontId="3" fillId="2" borderId="7" xfId="3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3" borderId="2" xfId="3" applyFill="1" applyBorder="1" applyAlignment="1">
      <alignment horizontal="center" vertical="center" wrapText="1"/>
    </xf>
    <xf numFmtId="0" fontId="3" fillId="3" borderId="3" xfId="3" applyFill="1" applyBorder="1" applyAlignment="1">
      <alignment horizontal="center" vertical="center" wrapText="1"/>
    </xf>
    <xf numFmtId="0" fontId="3" fillId="3" borderId="9" xfId="3" applyFill="1" applyBorder="1" applyAlignment="1">
      <alignment horizontal="left" vertical="center" wrapText="1"/>
    </xf>
    <xf numFmtId="2" fontId="0" fillId="0" borderId="0" xfId="0" applyNumberFormat="1"/>
    <xf numFmtId="44" fontId="2" fillId="2" borderId="20" xfId="3" applyNumberFormat="1" applyFont="1" applyFill="1" applyBorder="1" applyAlignment="1">
      <alignment horizontal="right" vertical="center"/>
    </xf>
    <xf numFmtId="0" fontId="3" fillId="3" borderId="18" xfId="3" applyFont="1" applyFill="1" applyBorder="1" applyAlignment="1">
      <alignment horizontal="center" vertical="center" wrapText="1"/>
    </xf>
    <xf numFmtId="0" fontId="3" fillId="3" borderId="21" xfId="3" applyFont="1" applyFill="1" applyBorder="1" applyAlignment="1">
      <alignment horizontal="center" vertical="center"/>
    </xf>
    <xf numFmtId="0" fontId="7" fillId="3" borderId="7" xfId="3" applyFont="1" applyFill="1" applyBorder="1" applyAlignment="1">
      <alignment horizontal="left" vertical="center" wrapText="1"/>
    </xf>
    <xf numFmtId="4" fontId="3" fillId="0" borderId="7" xfId="3" applyNumberFormat="1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/>
    </xf>
    <xf numFmtId="4" fontId="3" fillId="0" borderId="4" xfId="3" applyNumberFormat="1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/>
    </xf>
    <xf numFmtId="0" fontId="2" fillId="3" borderId="22" xfId="3" applyFont="1" applyFill="1" applyBorder="1" applyAlignment="1">
      <alignment horizontal="center" vertical="center"/>
    </xf>
    <xf numFmtId="0" fontId="2" fillId="3" borderId="21" xfId="3" applyFont="1" applyFill="1" applyBorder="1" applyAlignment="1">
      <alignment horizontal="center" vertical="center"/>
    </xf>
    <xf numFmtId="0" fontId="2" fillId="3" borderId="8" xfId="3" applyFont="1" applyFill="1" applyBorder="1" applyAlignment="1">
      <alignment horizontal="center" vertical="center"/>
    </xf>
    <xf numFmtId="0" fontId="2" fillId="3" borderId="5" xfId="3" applyFont="1" applyFill="1" applyBorder="1" applyAlignment="1">
      <alignment horizontal="center" vertical="center"/>
    </xf>
    <xf numFmtId="0" fontId="2" fillId="3" borderId="6" xfId="3" applyFont="1" applyFill="1" applyBorder="1" applyAlignment="1">
      <alignment horizontal="center" vertical="center"/>
    </xf>
    <xf numFmtId="8" fontId="2" fillId="3" borderId="21" xfId="3" applyNumberFormat="1" applyFont="1" applyFill="1" applyBorder="1" applyAlignment="1">
      <alignment horizontal="center" vertical="center"/>
    </xf>
    <xf numFmtId="0" fontId="3" fillId="3" borderId="2" xfId="3" applyFont="1" applyFill="1" applyBorder="1" applyAlignment="1">
      <alignment horizontal="center" vertical="center"/>
    </xf>
    <xf numFmtId="2" fontId="3" fillId="3" borderId="7" xfId="3" applyNumberFormat="1" applyFont="1" applyFill="1" applyBorder="1" applyAlignment="1">
      <alignment horizontal="center" vertical="center"/>
    </xf>
    <xf numFmtId="2" fontId="3" fillId="3" borderId="7" xfId="3" applyNumberFormat="1" applyFont="1" applyFill="1" applyBorder="1" applyAlignment="1">
      <alignment horizontal="center" vertical="center" wrapText="1"/>
    </xf>
    <xf numFmtId="0" fontId="2" fillId="3" borderId="9" xfId="3" applyFont="1" applyFill="1" applyBorder="1" applyAlignment="1">
      <alignment horizontal="center" vertical="center"/>
    </xf>
    <xf numFmtId="0" fontId="2" fillId="3" borderId="10" xfId="3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2" fontId="3" fillId="0" borderId="7" xfId="3" applyNumberFormat="1" applyFont="1" applyFill="1" applyBorder="1" applyAlignment="1">
      <alignment horizontal="center" vertical="center"/>
    </xf>
    <xf numFmtId="164" fontId="3" fillId="3" borderId="7" xfId="3" applyNumberFormat="1" applyFont="1" applyFill="1" applyBorder="1" applyAlignment="1">
      <alignment horizontal="center" vertical="center" wrapText="1"/>
    </xf>
    <xf numFmtId="0" fontId="2" fillId="3" borderId="7" xfId="3" applyFont="1" applyFill="1" applyBorder="1" applyAlignment="1">
      <alignment horizontal="center" vertical="center"/>
    </xf>
    <xf numFmtId="0" fontId="3" fillId="0" borderId="7" xfId="3" applyFont="1" applyFill="1" applyBorder="1" applyAlignment="1">
      <alignment horizontal="center" vertical="center"/>
    </xf>
    <xf numFmtId="0" fontId="3" fillId="3" borderId="23" xfId="3" applyFont="1" applyFill="1" applyBorder="1" applyAlignment="1">
      <alignment horizontal="center" vertical="center" wrapText="1"/>
    </xf>
    <xf numFmtId="0" fontId="3" fillId="3" borderId="24" xfId="3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8" fontId="3" fillId="3" borderId="7" xfId="3" applyNumberFormat="1" applyFill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3" fillId="3" borderId="9" xfId="3" applyFill="1" applyBorder="1" applyAlignment="1">
      <alignment horizontal="center" vertical="center" wrapText="1"/>
    </xf>
    <xf numFmtId="44" fontId="3" fillId="0" borderId="7" xfId="3" applyNumberFormat="1" applyBorder="1" applyAlignment="1">
      <alignment horizontal="right" vertical="center"/>
    </xf>
    <xf numFmtId="44" fontId="3" fillId="3" borderId="7" xfId="3" applyNumberFormat="1" applyFill="1" applyBorder="1" applyAlignment="1">
      <alignment horizontal="right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21" xfId="3" applyFont="1" applyFill="1" applyBorder="1" applyAlignment="1">
      <alignment horizontal="center" vertical="center"/>
    </xf>
    <xf numFmtId="0" fontId="3" fillId="3" borderId="9" xfId="3" applyFill="1" applyBorder="1" applyAlignment="1">
      <alignment vertical="center" wrapText="1"/>
    </xf>
    <xf numFmtId="0" fontId="3" fillId="3" borderId="10" xfId="3" applyFill="1" applyBorder="1" applyAlignment="1">
      <alignment vertical="center" wrapText="1"/>
    </xf>
    <xf numFmtId="0" fontId="3" fillId="3" borderId="3" xfId="3" applyFill="1" applyBorder="1" applyAlignment="1">
      <alignment vertical="center" wrapText="1"/>
    </xf>
    <xf numFmtId="0" fontId="2" fillId="2" borderId="19" xfId="3" applyFont="1" applyFill="1" applyBorder="1" applyAlignment="1">
      <alignment horizontal="right" vertical="center"/>
    </xf>
    <xf numFmtId="0" fontId="2" fillId="3" borderId="10" xfId="3" applyFont="1" applyFill="1" applyBorder="1" applyAlignment="1">
      <alignment horizontal="center" vertical="center"/>
    </xf>
    <xf numFmtId="0" fontId="3" fillId="3" borderId="18" xfId="3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4" fontId="3" fillId="0" borderId="7" xfId="4" applyFont="1" applyFill="1" applyBorder="1" applyAlignment="1">
      <alignment horizontal="right" vertical="center" wrapText="1"/>
    </xf>
    <xf numFmtId="0" fontId="3" fillId="2" borderId="18" xfId="3" applyFill="1" applyBorder="1" applyAlignment="1">
      <alignment horizontal="center" vertical="center"/>
    </xf>
    <xf numFmtId="0" fontId="3" fillId="2" borderId="10" xfId="3" applyFill="1" applyBorder="1" applyAlignment="1">
      <alignment horizontal="center" vertical="center"/>
    </xf>
    <xf numFmtId="0" fontId="3" fillId="3" borderId="9" xfId="3" applyFill="1" applyBorder="1" applyAlignment="1">
      <alignment vertical="center"/>
    </xf>
    <xf numFmtId="0" fontId="3" fillId="3" borderId="10" xfId="3" applyFill="1" applyBorder="1" applyAlignment="1">
      <alignment vertical="center"/>
    </xf>
    <xf numFmtId="0" fontId="3" fillId="3" borderId="3" xfId="3" applyFill="1" applyBorder="1" applyAlignment="1">
      <alignment vertical="center"/>
    </xf>
    <xf numFmtId="8" fontId="3" fillId="0" borderId="7" xfId="3" applyNumberFormat="1" applyFill="1" applyBorder="1" applyAlignment="1">
      <alignment horizontal="right" vertical="center"/>
    </xf>
    <xf numFmtId="166" fontId="3" fillId="0" borderId="7" xfId="1" applyNumberFormat="1" applyFont="1" applyFill="1" applyBorder="1" applyAlignment="1">
      <alignment horizontal="right" vertical="center" wrapText="1"/>
    </xf>
    <xf numFmtId="0" fontId="3" fillId="2" borderId="3" xfId="3" applyFill="1" applyBorder="1" applyAlignment="1">
      <alignment horizontal="center" vertical="center"/>
    </xf>
    <xf numFmtId="0" fontId="3" fillId="0" borderId="25" xfId="3" applyBorder="1" applyAlignment="1">
      <alignment horizontal="center" vertical="center"/>
    </xf>
    <xf numFmtId="0" fontId="3" fillId="0" borderId="0" xfId="3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8" fontId="2" fillId="0" borderId="0" xfId="3" applyNumberFormat="1" applyFont="1" applyAlignment="1">
      <alignment horizontal="center" vertical="center"/>
    </xf>
    <xf numFmtId="8" fontId="2" fillId="0" borderId="26" xfId="3" applyNumberFormat="1" applyFont="1" applyBorder="1" applyAlignment="1">
      <alignment horizontal="right" vertical="center"/>
    </xf>
    <xf numFmtId="0" fontId="2" fillId="2" borderId="20" xfId="3" applyFont="1" applyFill="1" applyBorder="1" applyAlignment="1">
      <alignment horizontal="right"/>
    </xf>
    <xf numFmtId="0" fontId="3" fillId="3" borderId="10" xfId="3" applyFill="1" applyBorder="1" applyAlignment="1">
      <alignment horizontal="center" vertical="center"/>
    </xf>
    <xf numFmtId="44" fontId="3" fillId="0" borderId="7" xfId="4" applyFont="1" applyFill="1" applyBorder="1" applyAlignment="1">
      <alignment horizontal="center" vertical="center"/>
    </xf>
    <xf numFmtId="44" fontId="3" fillId="3" borderId="9" xfId="4" applyFont="1" applyFill="1" applyBorder="1" applyAlignment="1">
      <alignment horizontal="left" vertical="center" wrapText="1"/>
    </xf>
    <xf numFmtId="44" fontId="3" fillId="3" borderId="10" xfId="4" applyFont="1" applyFill="1" applyBorder="1" applyAlignment="1">
      <alignment horizontal="left" vertical="center" wrapText="1"/>
    </xf>
    <xf numFmtId="44" fontId="3" fillId="3" borderId="3" xfId="4" applyFont="1" applyFill="1" applyBorder="1" applyAlignment="1">
      <alignment horizontal="left" vertical="center" wrapText="1"/>
    </xf>
    <xf numFmtId="44" fontId="3" fillId="0" borderId="7" xfId="4" applyFont="1" applyFill="1" applyBorder="1" applyAlignment="1">
      <alignment horizontal="right" vertical="center"/>
    </xf>
    <xf numFmtId="0" fontId="3" fillId="3" borderId="3" xfId="3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0" borderId="18" xfId="3" applyBorder="1" applyAlignment="1">
      <alignment horizontal="center" vertical="center"/>
    </xf>
    <xf numFmtId="0" fontId="3" fillId="0" borderId="10" xfId="3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8" fontId="2" fillId="0" borderId="10" xfId="3" applyNumberFormat="1" applyFont="1" applyBorder="1" applyAlignment="1">
      <alignment horizontal="center" vertical="center"/>
    </xf>
    <xf numFmtId="8" fontId="2" fillId="0" borderId="19" xfId="3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8" fontId="3" fillId="3" borderId="20" xfId="3" applyNumberFormat="1" applyFill="1" applyBorder="1" applyAlignment="1">
      <alignment horizontal="right" vertical="center"/>
    </xf>
    <xf numFmtId="0" fontId="3" fillId="3" borderId="18" xfId="3" applyFill="1" applyBorder="1" applyAlignment="1">
      <alignment horizontal="center" vertical="center"/>
    </xf>
    <xf numFmtId="44" fontId="3" fillId="0" borderId="7" xfId="3" applyNumberFormat="1" applyBorder="1" applyAlignment="1">
      <alignment horizontal="center" vertical="center"/>
    </xf>
    <xf numFmtId="40" fontId="3" fillId="0" borderId="7" xfId="0" applyNumberFormat="1" applyFont="1" applyBorder="1" applyAlignment="1">
      <alignment horizontal="center" vertical="center"/>
    </xf>
    <xf numFmtId="44" fontId="3" fillId="0" borderId="7" xfId="5" applyNumberFormat="1" applyFont="1" applyFill="1" applyBorder="1" applyAlignment="1">
      <alignment horizontal="center" vertical="center" wrapText="1"/>
    </xf>
    <xf numFmtId="0" fontId="3" fillId="3" borderId="9" xfId="3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167" fontId="2" fillId="3" borderId="7" xfId="3" applyNumberFormat="1" applyFont="1" applyFill="1" applyBorder="1" applyAlignment="1">
      <alignment horizontal="center" vertical="center"/>
    </xf>
    <xf numFmtId="167" fontId="2" fillId="3" borderId="7" xfId="3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44" fontId="3" fillId="0" borderId="7" xfId="3" applyNumberFormat="1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167" fontId="2" fillId="2" borderId="20" xfId="3" applyNumberFormat="1" applyFont="1" applyFill="1" applyBorder="1" applyAlignment="1">
      <alignment horizontal="right" vertical="center"/>
    </xf>
    <xf numFmtId="8" fontId="3" fillId="0" borderId="7" xfId="3" applyNumberFormat="1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left" vertical="center" wrapText="1"/>
    </xf>
    <xf numFmtId="0" fontId="3" fillId="3" borderId="10" xfId="3" applyFont="1" applyFill="1" applyBorder="1" applyAlignment="1">
      <alignment horizontal="left" vertical="center" wrapText="1"/>
    </xf>
    <xf numFmtId="0" fontId="3" fillId="3" borderId="3" xfId="3" applyFont="1" applyFill="1" applyBorder="1" applyAlignment="1">
      <alignment horizontal="left" vertical="center" wrapText="1"/>
    </xf>
    <xf numFmtId="44" fontId="3" fillId="0" borderId="10" xfId="1" applyNumberFormat="1" applyFont="1" applyFill="1" applyBorder="1" applyAlignment="1">
      <alignment horizontal="right" vertical="center" wrapText="1"/>
    </xf>
    <xf numFmtId="44" fontId="3" fillId="0" borderId="7" xfId="1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4" fontId="0" fillId="0" borderId="0" xfId="0" applyNumberFormat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44" fontId="3" fillId="0" borderId="7" xfId="3" applyNumberFormat="1" applyFont="1" applyFill="1" applyBorder="1" applyAlignment="1">
      <alignment horizontal="center" vertical="center" wrapText="1"/>
    </xf>
    <xf numFmtId="164" fontId="3" fillId="0" borderId="7" xfId="3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167" fontId="3" fillId="3" borderId="20" xfId="3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3" borderId="2" xfId="3" applyFont="1" applyFill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wrapText="1"/>
    </xf>
    <xf numFmtId="167" fontId="2" fillId="2" borderId="7" xfId="3" applyNumberFormat="1" applyFont="1" applyFill="1" applyBorder="1" applyAlignment="1">
      <alignment horizontal="center" vertical="center"/>
    </xf>
    <xf numFmtId="44" fontId="3" fillId="3" borderId="20" xfId="3" applyNumberFormat="1" applyFill="1" applyBorder="1" applyAlignment="1">
      <alignment horizontal="right" vertical="center"/>
    </xf>
    <xf numFmtId="8" fontId="3" fillId="0" borderId="7" xfId="3" applyNumberFormat="1" applyBorder="1" applyAlignment="1">
      <alignment horizontal="center" vertical="center"/>
    </xf>
    <xf numFmtId="0" fontId="3" fillId="0" borderId="7" xfId="6" applyBorder="1" applyAlignment="1">
      <alignment horizontal="center" vertical="center" wrapText="1"/>
    </xf>
    <xf numFmtId="44" fontId="3" fillId="0" borderId="20" xfId="3" applyNumberFormat="1" applyBorder="1" applyAlignment="1">
      <alignment horizontal="right" vertical="center"/>
    </xf>
    <xf numFmtId="44" fontId="3" fillId="0" borderId="7" xfId="7" applyFont="1" applyFill="1" applyBorder="1" applyAlignment="1">
      <alignment horizontal="center" vertical="center"/>
    </xf>
    <xf numFmtId="44" fontId="3" fillId="0" borderId="7" xfId="7" applyFont="1" applyFill="1" applyBorder="1" applyAlignment="1">
      <alignment horizontal="center" vertical="center" wrapText="1"/>
    </xf>
    <xf numFmtId="44" fontId="3" fillId="3" borderId="20" xfId="3" applyNumberFormat="1" applyFill="1" applyBorder="1" applyAlignment="1">
      <alignment horizontal="center" vertical="center"/>
    </xf>
    <xf numFmtId="44" fontId="2" fillId="2" borderId="20" xfId="3" applyNumberFormat="1" applyFont="1" applyFill="1" applyBorder="1" applyAlignment="1">
      <alignment horizontal="center" vertical="center"/>
    </xf>
    <xf numFmtId="0" fontId="7" fillId="3" borderId="9" xfId="3" applyFont="1" applyFill="1" applyBorder="1" applyAlignment="1">
      <alignment vertical="center"/>
    </xf>
    <xf numFmtId="0" fontId="7" fillId="3" borderId="10" xfId="3" applyFont="1" applyFill="1" applyBorder="1" applyAlignment="1">
      <alignment vertical="center" wrapText="1"/>
    </xf>
    <xf numFmtId="0" fontId="7" fillId="3" borderId="3" xfId="3" applyFont="1" applyFill="1" applyBorder="1" applyAlignment="1">
      <alignment vertical="center" wrapText="1"/>
    </xf>
    <xf numFmtId="44" fontId="3" fillId="0" borderId="7" xfId="3" applyNumberFormat="1" applyFont="1" applyFill="1" applyBorder="1" applyAlignment="1">
      <alignment horizontal="right" vertical="center"/>
    </xf>
    <xf numFmtId="168" fontId="3" fillId="0" borderId="4" xfId="3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4" fontId="3" fillId="0" borderId="9" xfId="3" applyNumberFormat="1" applyFont="1" applyFill="1" applyBorder="1" applyAlignment="1">
      <alignment horizontal="right" vertical="center" wrapText="1"/>
    </xf>
    <xf numFmtId="0" fontId="3" fillId="0" borderId="27" xfId="3" applyBorder="1" applyAlignment="1">
      <alignment horizontal="center" vertical="center"/>
    </xf>
    <xf numFmtId="0" fontId="3" fillId="0" borderId="5" xfId="3" applyBorder="1" applyAlignment="1">
      <alignment horizontal="center" vertical="center"/>
    </xf>
    <xf numFmtId="0" fontId="2" fillId="0" borderId="5" xfId="3" applyFont="1" applyBorder="1" applyAlignment="1">
      <alignment horizontal="center"/>
    </xf>
    <xf numFmtId="167" fontId="2" fillId="0" borderId="5" xfId="3" applyNumberFormat="1" applyFont="1" applyBorder="1" applyAlignment="1">
      <alignment horizontal="center" vertical="center"/>
    </xf>
    <xf numFmtId="167" fontId="2" fillId="0" borderId="28" xfId="3" applyNumberFormat="1" applyFont="1" applyBorder="1" applyAlignment="1">
      <alignment horizontal="right"/>
    </xf>
    <xf numFmtId="0" fontId="2" fillId="2" borderId="10" xfId="3" applyFont="1" applyFill="1" applyBorder="1"/>
    <xf numFmtId="0" fontId="2" fillId="2" borderId="19" xfId="3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left" vertical="center" wrapText="1"/>
    </xf>
    <xf numFmtId="0" fontId="3" fillId="2" borderId="10" xfId="3" applyFill="1" applyBorder="1" applyAlignment="1">
      <alignment vertical="center"/>
    </xf>
    <xf numFmtId="0" fontId="2" fillId="2" borderId="10" xfId="3" applyFont="1" applyFill="1" applyBorder="1" applyAlignment="1">
      <alignment vertical="center"/>
    </xf>
    <xf numFmtId="0" fontId="3" fillId="2" borderId="3" xfId="3" applyFill="1" applyBorder="1" applyAlignment="1">
      <alignment vertical="center"/>
    </xf>
    <xf numFmtId="0" fontId="2" fillId="3" borderId="10" xfId="3" applyFont="1" applyFill="1" applyBorder="1"/>
    <xf numFmtId="0" fontId="2" fillId="3" borderId="3" xfId="3" applyFont="1" applyFill="1" applyBorder="1"/>
    <xf numFmtId="0" fontId="2" fillId="3" borderId="7" xfId="3" applyFont="1" applyFill="1" applyBorder="1" applyAlignment="1">
      <alignment horizontal="center"/>
    </xf>
    <xf numFmtId="167" fontId="3" fillId="3" borderId="20" xfId="3" applyNumberFormat="1" applyFill="1" applyBorder="1" applyAlignment="1">
      <alignment horizontal="right"/>
    </xf>
    <xf numFmtId="44" fontId="3" fillId="3" borderId="7" xfId="3" applyNumberForma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/>
    </xf>
    <xf numFmtId="0" fontId="2" fillId="2" borderId="10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2" fillId="2" borderId="7" xfId="3" applyFont="1" applyFill="1" applyBorder="1" applyAlignment="1">
      <alignment horizontal="center"/>
    </xf>
    <xf numFmtId="167" fontId="2" fillId="2" borderId="20" xfId="3" applyNumberFormat="1" applyFont="1" applyFill="1" applyBorder="1" applyAlignment="1">
      <alignment horizontal="right"/>
    </xf>
  </cellXfs>
  <cellStyles count="8">
    <cellStyle name="Moeda 3" xfId="4"/>
    <cellStyle name="Moeda 6" xfId="7"/>
    <cellStyle name="Normal" xfId="0" builtinId="0"/>
    <cellStyle name="Normal 17" xfId="2"/>
    <cellStyle name="Normal 2" xfId="3"/>
    <cellStyle name="Normal 2 2 2" xfId="6"/>
    <cellStyle name="Vírgula" xfId="1" builtinId="3"/>
    <cellStyle name="Vírgula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210904</xdr:colOff>
      <xdr:row>3</xdr:row>
      <xdr:rowOff>94513</xdr:rowOff>
    </xdr:from>
    <xdr:to>
      <xdr:col>13</xdr:col>
      <xdr:colOff>846505</xdr:colOff>
      <xdr:row>3</xdr:row>
      <xdr:rowOff>813579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1779" y="94513"/>
          <a:ext cx="2416776" cy="719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381341</xdr:colOff>
      <xdr:row>3</xdr:row>
      <xdr:rowOff>84878</xdr:rowOff>
    </xdr:from>
    <xdr:to>
      <xdr:col>1</xdr:col>
      <xdr:colOff>1070477</xdr:colOff>
      <xdr:row>3</xdr:row>
      <xdr:rowOff>825852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41" y="84878"/>
          <a:ext cx="689136" cy="74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POSI&#199;&#195;O%20DE%20CUSTO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F"/>
      <sheetName val="BDI"/>
      <sheetName val="ENC.SOC."/>
      <sheetName val="COMPOSIÇÕES"/>
      <sheetName val="ORÇ"/>
      <sheetName val="ADM. LOC. 1"/>
      <sheetName val="SER.PREL.2"/>
      <sheetName val="MOV. TER.3"/>
      <sheetName val="EST.4"/>
      <sheetName val="COB. 5"/>
      <sheetName val="PAV. 6"/>
      <sheetName val="PAR. 7"/>
      <sheetName val="REV. DE PAR. 8"/>
      <sheetName val="ESQ. 9"/>
      <sheetName val="PINT. 10"/>
      <sheetName val="ELE. 11"/>
      <sheetName val="INS. LÓG. 12"/>
      <sheetName val="INS. AR. 13"/>
      <sheetName val="INC. 14"/>
      <sheetName val="INS. HID. 15"/>
      <sheetName val="LOUÇ. ACESS. E META. 16"/>
      <sheetName val="MURO 17"/>
      <sheetName val="SERV. DIV. 18"/>
      <sheetName val="CAS.BOMB.CIST.19"/>
      <sheetName val="FAC. 20"/>
      <sheetName val="SERV. FINAIS 21"/>
    </sheetNames>
    <sheetDataSet>
      <sheetData sheetId="0"/>
      <sheetData sheetId="1"/>
      <sheetData sheetId="2"/>
      <sheetData sheetId="3">
        <row r="2">
          <cell r="A2" t="str">
            <v>Proponente:</v>
          </cell>
          <cell r="C2" t="str">
            <v>PREFEITURA MUNICIPAL DE PLACAS</v>
          </cell>
          <cell r="I2" t="str">
            <v>Município:</v>
          </cell>
          <cell r="K2" t="str">
            <v>PLACAS / PA</v>
          </cell>
        </row>
        <row r="3">
          <cell r="A3" t="str">
            <v>Objeto:</v>
          </cell>
          <cell r="C3" t="str">
            <v>CONSTRUÇÃO DO COMPLEXO ADMINISTRATIVO DO MUNICIPIO DE PLACAS</v>
          </cell>
        </row>
        <row r="4">
          <cell r="A4" t="str">
            <v>Local:</v>
          </cell>
          <cell r="C4" t="str">
            <v>RUA OLAVO BILAC N° 408, BAIRRO CENTRO – PLACAS/PARÁ</v>
          </cell>
        </row>
        <row r="5">
          <cell r="A5" t="str">
            <v>BDI</v>
          </cell>
          <cell r="C5">
            <v>0.28820000000000001</v>
          </cell>
          <cell r="I5" t="str">
            <v>Data base:</v>
          </cell>
          <cell r="K5" t="str">
            <v>SINAPI ABRIL/2022 - DESONERADA</v>
          </cell>
        </row>
        <row r="6">
          <cell r="A6" t="str">
            <v>Responsável Técnico</v>
          </cell>
          <cell r="C6" t="str">
            <v>MARUZA BAPTISTA</v>
          </cell>
          <cell r="K6" t="str">
            <v>SEDOP MAIO/2022 - DESONERADA</v>
          </cell>
        </row>
        <row r="7">
          <cell r="I7" t="str">
            <v>Registro:</v>
          </cell>
          <cell r="K7" t="str">
            <v>CAU - A : 28510-2</v>
          </cell>
        </row>
      </sheetData>
      <sheetData sheetId="4">
        <row r="58">
          <cell r="B58" t="str">
            <v>COMPOSIÇÃO 4</v>
          </cell>
        </row>
        <row r="60">
          <cell r="B60" t="str">
            <v>SINAPI</v>
          </cell>
        </row>
        <row r="61">
          <cell r="B61" t="str">
            <v>SINAPI</v>
          </cell>
        </row>
        <row r="108">
          <cell r="B108" t="str">
            <v>SINAPI</v>
          </cell>
        </row>
        <row r="115">
          <cell r="B115" t="str">
            <v>COMPOSIÇÃO 7</v>
          </cell>
        </row>
        <row r="116">
          <cell r="B116" t="str">
            <v>COMPOSIÇÃO 6</v>
          </cell>
        </row>
        <row r="118">
          <cell r="B118" t="str">
            <v>COMPOSIÇÃO 8</v>
          </cell>
        </row>
        <row r="119">
          <cell r="B119" t="str">
            <v>COMPOSIÇÃO 9</v>
          </cell>
        </row>
        <row r="147">
          <cell r="B147" t="str">
            <v>COMPOSIÇÃO 13</v>
          </cell>
        </row>
        <row r="148">
          <cell r="B148" t="str">
            <v>COMPOSIÇÃO 14</v>
          </cell>
        </row>
        <row r="149">
          <cell r="B149" t="str">
            <v>COMPOSIÇÃO 15</v>
          </cell>
        </row>
        <row r="150">
          <cell r="B150" t="str">
            <v>COMPOSIÇÃO 16</v>
          </cell>
        </row>
        <row r="151">
          <cell r="B151" t="str">
            <v>COMPOSIÇÃO 17</v>
          </cell>
        </row>
        <row r="152">
          <cell r="B152" t="str">
            <v>COMPOSIÇÃO 18</v>
          </cell>
        </row>
        <row r="153">
          <cell r="B153" t="str">
            <v>SINAPI</v>
          </cell>
        </row>
        <row r="154">
          <cell r="B154" t="str">
            <v>SINAPI</v>
          </cell>
        </row>
        <row r="155">
          <cell r="B155" t="str">
            <v>SINAPI</v>
          </cell>
        </row>
        <row r="169">
          <cell r="B169" t="str">
            <v>SINAPI</v>
          </cell>
        </row>
        <row r="170">
          <cell r="B170" t="str">
            <v>SINAPI</v>
          </cell>
        </row>
        <row r="171">
          <cell r="B171" t="str">
            <v>SEDOP</v>
          </cell>
        </row>
        <row r="204">
          <cell r="B204" t="str">
            <v>COMPOSIÇÃO 25</v>
          </cell>
        </row>
        <row r="205">
          <cell r="B205" t="str">
            <v>COMPOSIÇÃO 26</v>
          </cell>
        </row>
        <row r="206">
          <cell r="B206" t="str">
            <v>SINAPI</v>
          </cell>
        </row>
        <row r="207">
          <cell r="B207" t="str">
            <v>SINAPI</v>
          </cell>
        </row>
        <row r="208">
          <cell r="B208" t="str">
            <v>SINAPI</v>
          </cell>
        </row>
        <row r="213">
          <cell r="B213" t="str">
            <v>SINAPI</v>
          </cell>
        </row>
        <row r="218">
          <cell r="B218" t="str">
            <v>COMPOSIÇÃO 31</v>
          </cell>
        </row>
        <row r="219">
          <cell r="B219" t="str">
            <v>COMPOSIÇÃO 32</v>
          </cell>
        </row>
        <row r="220">
          <cell r="B220" t="str">
            <v>COMPOSIÇÃO 33</v>
          </cell>
        </row>
        <row r="221">
          <cell r="B221" t="str">
            <v>SEDOP</v>
          </cell>
        </row>
        <row r="222">
          <cell r="B222" t="str">
            <v>SEDOP</v>
          </cell>
        </row>
        <row r="223">
          <cell r="B223" t="str">
            <v>COMPOSIÇÃO 27</v>
          </cell>
        </row>
        <row r="227">
          <cell r="B227" t="str">
            <v>SINAPI</v>
          </cell>
        </row>
        <row r="232">
          <cell r="B232" t="str">
            <v>SINAPI</v>
          </cell>
        </row>
        <row r="233">
          <cell r="B233" t="str">
            <v>SINAPI</v>
          </cell>
        </row>
        <row r="234">
          <cell r="B234" t="str">
            <v>SINAPI</v>
          </cell>
        </row>
        <row r="255">
          <cell r="B255" t="str">
            <v>SINAPI</v>
          </cell>
        </row>
        <row r="266">
          <cell r="B266" t="str">
            <v>SINAPI</v>
          </cell>
        </row>
        <row r="282">
          <cell r="B282" t="str">
            <v>SEDOP</v>
          </cell>
        </row>
        <row r="311">
          <cell r="B311" t="str">
            <v>COMPOSIÇÃO 61</v>
          </cell>
        </row>
        <row r="312">
          <cell r="B312" t="str">
            <v>COMPOSIÇÃO 62</v>
          </cell>
        </row>
        <row r="313">
          <cell r="B313" t="str">
            <v>SEDOP</v>
          </cell>
        </row>
        <row r="342">
          <cell r="B342" t="str">
            <v>COMPOSIÇÃO 40</v>
          </cell>
        </row>
        <row r="345">
          <cell r="B345" t="str">
            <v>SINAPI</v>
          </cell>
        </row>
        <row r="374">
          <cell r="B374" t="str">
            <v>SINAPI</v>
          </cell>
        </row>
        <row r="387">
          <cell r="B387" t="str">
            <v>COMPOSIÇÃO 54</v>
          </cell>
        </row>
        <row r="388">
          <cell r="B388" t="str">
            <v>SINAPI</v>
          </cell>
        </row>
        <row r="390">
          <cell r="B390" t="str">
            <v>SINAPI</v>
          </cell>
        </row>
        <row r="398">
          <cell r="B398" t="str">
            <v>COMPOSIÇÃO 70</v>
          </cell>
        </row>
        <row r="400">
          <cell r="B400" t="str">
            <v>SEDOP</v>
          </cell>
        </row>
        <row r="401">
          <cell r="B401" t="str">
            <v>COMPOSIÇÃO 71</v>
          </cell>
        </row>
        <row r="404">
          <cell r="B404" t="str">
            <v>COMPOSIÇÃO 74</v>
          </cell>
        </row>
        <row r="405">
          <cell r="B405" t="str">
            <v>SINAPI</v>
          </cell>
        </row>
        <row r="406">
          <cell r="B406" t="str">
            <v>SINAPI</v>
          </cell>
        </row>
        <row r="420">
          <cell r="B420" t="str">
            <v>COMPOSIÇÃO 47</v>
          </cell>
        </row>
        <row r="421">
          <cell r="B421" t="str">
            <v>COMPOSIÇÃO 48</v>
          </cell>
        </row>
        <row r="422">
          <cell r="B422" t="str">
            <v>SEDOP</v>
          </cell>
        </row>
        <row r="423">
          <cell r="B423" t="str">
            <v>SINAPI</v>
          </cell>
        </row>
        <row r="424">
          <cell r="B424" t="str">
            <v>SINAPI</v>
          </cell>
        </row>
        <row r="430">
          <cell r="B430" t="str">
            <v>SINAPI</v>
          </cell>
        </row>
        <row r="449">
          <cell r="B449" t="str">
            <v>SINAPI</v>
          </cell>
        </row>
        <row r="450">
          <cell r="B450" t="str">
            <v>ORSE</v>
          </cell>
        </row>
        <row r="481">
          <cell r="B481" t="str">
            <v>COMPOSIÇÃO 78</v>
          </cell>
        </row>
        <row r="482">
          <cell r="B482" t="str">
            <v>COMPOSIÇÃO 80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866"/>
  <sheetViews>
    <sheetView tabSelected="1" workbookViewId="0">
      <selection activeCell="P7" sqref="P7"/>
    </sheetView>
  </sheetViews>
  <sheetFormatPr defaultRowHeight="15" x14ac:dyDescent="0.25"/>
  <cols>
    <col min="13" max="13" width="13.28515625" customWidth="1"/>
    <col min="14" max="14" width="13.7109375" customWidth="1"/>
    <col min="16" max="16" width="14.140625" customWidth="1"/>
  </cols>
  <sheetData>
    <row r="4" spans="2:14" ht="44.25" customHeight="1" x14ac:dyDescent="0.25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 customHeight="1" x14ac:dyDescent="0.25">
      <c r="B5" s="2" t="str">
        <f>[1]COMPOSIÇÕES!A2</f>
        <v>Proponente:</v>
      </c>
      <c r="C5" s="3"/>
      <c r="D5" s="4" t="str">
        <f>[1]COMPOSIÇÕES!C2</f>
        <v>PREFEITURA MUNICIPAL DE PLACAS</v>
      </c>
      <c r="E5" s="4"/>
      <c r="F5" s="4"/>
      <c r="G5" s="4"/>
      <c r="H5" s="4"/>
      <c r="I5" s="4"/>
      <c r="J5" s="5" t="str">
        <f>[1]COMPOSIÇÕES!I2</f>
        <v>Município:</v>
      </c>
      <c r="K5" s="6"/>
      <c r="L5" s="7" t="str">
        <f>[1]COMPOSIÇÕES!K2</f>
        <v>PLACAS / PA</v>
      </c>
      <c r="M5" s="8"/>
      <c r="N5" s="8"/>
    </row>
    <row r="6" spans="2:14" x14ac:dyDescent="0.25">
      <c r="B6" s="2" t="str">
        <f>[1]COMPOSIÇÕES!A3</f>
        <v>Objeto:</v>
      </c>
      <c r="C6" s="3"/>
      <c r="D6" s="8" t="str">
        <f>[1]COMPOSIÇÕES!C3</f>
        <v>CONSTRUÇÃO DO COMPLEXO ADMINISTRATIVO DO MUNICIPIO DE PLACAS</v>
      </c>
      <c r="E6" s="8"/>
      <c r="F6" s="8"/>
      <c r="G6" s="8"/>
      <c r="H6" s="8"/>
      <c r="I6" s="8"/>
      <c r="J6" s="8"/>
      <c r="K6" s="8"/>
      <c r="L6" s="8"/>
      <c r="M6" s="8"/>
      <c r="N6" s="8"/>
    </row>
    <row r="7" spans="2:14" x14ac:dyDescent="0.25">
      <c r="B7" s="2" t="str">
        <f>[1]COMPOSIÇÕES!A4</f>
        <v>Local:</v>
      </c>
      <c r="C7" s="3"/>
      <c r="D7" s="8" t="str">
        <f>[1]COMPOSIÇÕES!C4</f>
        <v>RUA OLAVO BILAC N° 408, BAIRRO CENTRO – PLACAS/PARÁ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2:14" ht="15" customHeight="1" x14ac:dyDescent="0.25">
      <c r="B8" s="2" t="str">
        <f>[1]COMPOSIÇÕES!A5</f>
        <v>BDI</v>
      </c>
      <c r="C8" s="3"/>
      <c r="D8" s="9">
        <f>[1]COMPOSIÇÕES!C5</f>
        <v>0.28820000000000001</v>
      </c>
      <c r="E8" s="10"/>
      <c r="F8" s="10"/>
      <c r="G8" s="10"/>
      <c r="H8" s="10"/>
      <c r="I8" s="10"/>
      <c r="J8" s="11" t="str">
        <f>[1]COMPOSIÇÕES!I5</f>
        <v>Data base:</v>
      </c>
      <c r="K8" s="6"/>
      <c r="L8" s="12" t="str">
        <f>[1]COMPOSIÇÕES!K5</f>
        <v>SINAPI ABRIL/2022 - DESONERADA</v>
      </c>
      <c r="M8" s="13"/>
      <c r="N8" s="14"/>
    </row>
    <row r="9" spans="2:14" ht="15" customHeight="1" x14ac:dyDescent="0.25">
      <c r="B9" s="11" t="str">
        <f>[1]COMPOSIÇÕES!A6</f>
        <v>Responsável Técnico</v>
      </c>
      <c r="C9" s="6"/>
      <c r="D9" s="15" t="str">
        <f>[1]COMPOSIÇÕES!C6</f>
        <v>MARUZA BAPTISTA</v>
      </c>
      <c r="E9" s="16"/>
      <c r="F9" s="16"/>
      <c r="G9" s="16"/>
      <c r="H9" s="16"/>
      <c r="I9" s="17"/>
      <c r="J9" s="18"/>
      <c r="K9" s="19"/>
      <c r="L9" s="12" t="str">
        <f>[1]COMPOSIÇÕES!K6</f>
        <v>SEDOP MAIO/2022 - DESONERADA</v>
      </c>
      <c r="M9" s="13"/>
      <c r="N9" s="14"/>
    </row>
    <row r="10" spans="2:14" ht="15" customHeight="1" x14ac:dyDescent="0.25">
      <c r="B10" s="18"/>
      <c r="C10" s="19"/>
      <c r="D10" s="20"/>
      <c r="E10" s="21"/>
      <c r="F10" s="21"/>
      <c r="G10" s="21"/>
      <c r="H10" s="21"/>
      <c r="I10" s="22"/>
      <c r="J10" s="23" t="str">
        <f>[1]COMPOSIÇÕES!I7</f>
        <v>Registro:</v>
      </c>
      <c r="K10" s="24"/>
      <c r="L10" s="8" t="str">
        <f>[1]COMPOSIÇÕES!K7</f>
        <v>CAU - A : 28510-2</v>
      </c>
      <c r="M10" s="8"/>
      <c r="N10" s="8"/>
    </row>
    <row r="11" spans="2:14" ht="15.75" thickBot="1" x14ac:dyDescent="0.3">
      <c r="B11" s="25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2:14" ht="16.5" thickBot="1" x14ac:dyDescent="0.3">
      <c r="B12" s="27" t="s">
        <v>1</v>
      </c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</row>
    <row r="13" spans="2:14" x14ac:dyDescent="0.25">
      <c r="B13" s="31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</row>
    <row r="14" spans="2:14" x14ac:dyDescent="0.25">
      <c r="B14" s="35" t="s">
        <v>2</v>
      </c>
      <c r="C14" s="36"/>
      <c r="D14" s="37" t="s">
        <v>3</v>
      </c>
      <c r="E14" s="38"/>
      <c r="F14" s="38"/>
      <c r="G14" s="38"/>
      <c r="H14" s="38"/>
      <c r="I14" s="38"/>
      <c r="J14" s="38"/>
      <c r="K14" s="38"/>
      <c r="L14" s="38"/>
      <c r="M14" s="38"/>
      <c r="N14" s="39"/>
    </row>
    <row r="15" spans="2:14" x14ac:dyDescent="0.25">
      <c r="B15" s="40">
        <f>[1]ORÇ!B17</f>
        <v>0</v>
      </c>
      <c r="C15" s="41"/>
      <c r="D15" s="42" t="s">
        <v>4</v>
      </c>
      <c r="E15" s="43"/>
      <c r="F15" s="43"/>
      <c r="G15" s="43"/>
      <c r="H15" s="43"/>
      <c r="I15" s="43"/>
      <c r="J15" s="43"/>
      <c r="K15" s="43"/>
      <c r="L15" s="44"/>
      <c r="M15" s="45" t="s">
        <v>5</v>
      </c>
      <c r="N15" s="46" t="s">
        <v>6</v>
      </c>
    </row>
    <row r="16" spans="2:14" x14ac:dyDescent="0.25">
      <c r="B16" s="47" t="s">
        <v>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</row>
    <row r="17" spans="2:16" x14ac:dyDescent="0.25">
      <c r="B17" s="48" t="s">
        <v>8</v>
      </c>
      <c r="C17" s="48" t="s">
        <v>9</v>
      </c>
      <c r="D17" s="49"/>
      <c r="E17" s="50"/>
      <c r="F17" s="50"/>
      <c r="G17" s="50" t="s">
        <v>10</v>
      </c>
      <c r="H17" s="50"/>
      <c r="I17" s="50"/>
      <c r="J17" s="51"/>
      <c r="K17" s="52" t="s">
        <v>11</v>
      </c>
      <c r="L17" s="52" t="s">
        <v>12</v>
      </c>
      <c r="M17" s="45" t="s">
        <v>13</v>
      </c>
      <c r="N17" s="53" t="s">
        <v>14</v>
      </c>
    </row>
    <row r="18" spans="2:16" x14ac:dyDescent="0.25">
      <c r="B18" s="54" t="s">
        <v>15</v>
      </c>
      <c r="C18" s="55">
        <v>90777</v>
      </c>
      <c r="D18" s="56" t="s">
        <v>16</v>
      </c>
      <c r="E18" s="57"/>
      <c r="F18" s="57"/>
      <c r="G18" s="57"/>
      <c r="H18" s="57"/>
      <c r="I18" s="57"/>
      <c r="J18" s="58"/>
      <c r="K18" s="59" t="s">
        <v>17</v>
      </c>
      <c r="L18" s="60">
        <f>'[1]ADM. LOC. 1'!J22</f>
        <v>0</v>
      </c>
      <c r="M18" s="61">
        <v>82.16</v>
      </c>
      <c r="N18" s="62">
        <f>ROUND(L18*M18,2)</f>
        <v>0</v>
      </c>
    </row>
    <row r="19" spans="2:16" x14ac:dyDescent="0.25">
      <c r="B19" s="63" t="s">
        <v>15</v>
      </c>
      <c r="C19" s="64">
        <v>90776</v>
      </c>
      <c r="D19" s="65" t="s">
        <v>18</v>
      </c>
      <c r="E19" s="66"/>
      <c r="F19" s="66"/>
      <c r="G19" s="66"/>
      <c r="H19" s="66"/>
      <c r="I19" s="66"/>
      <c r="J19" s="67"/>
      <c r="K19" s="68" t="s">
        <v>17</v>
      </c>
      <c r="L19" s="69">
        <f>'[1]ADM. LOC. 1'!J26</f>
        <v>0</v>
      </c>
      <c r="M19" s="70">
        <v>18.510000000000002</v>
      </c>
      <c r="N19" s="62">
        <f>ROUND(L19*M19,2)</f>
        <v>0</v>
      </c>
    </row>
    <row r="20" spans="2:16" x14ac:dyDescent="0.25">
      <c r="B20" s="71"/>
      <c r="C20" s="72"/>
      <c r="D20" s="37" t="s">
        <v>19</v>
      </c>
      <c r="E20" s="38"/>
      <c r="F20" s="38"/>
      <c r="G20" s="38"/>
      <c r="H20" s="38"/>
      <c r="I20" s="38"/>
      <c r="J20" s="38"/>
      <c r="K20" s="73"/>
      <c r="L20" s="74"/>
      <c r="M20" s="75"/>
      <c r="N20" s="76">
        <f>SUM(N18:N19)</f>
        <v>0</v>
      </c>
      <c r="O20" s="77"/>
      <c r="P20" s="77"/>
    </row>
    <row r="21" spans="2:16" x14ac:dyDescent="0.25"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2"/>
      <c r="O21" s="77"/>
      <c r="P21" s="77"/>
    </row>
    <row r="22" spans="2:16" x14ac:dyDescent="0.25">
      <c r="B22" s="83" t="s">
        <v>20</v>
      </c>
      <c r="C22" s="74"/>
      <c r="D22" s="37" t="s">
        <v>3</v>
      </c>
      <c r="E22" s="38"/>
      <c r="F22" s="38"/>
      <c r="G22" s="38"/>
      <c r="H22" s="38"/>
      <c r="I22" s="38"/>
      <c r="J22" s="38"/>
      <c r="K22" s="38"/>
      <c r="L22" s="38"/>
      <c r="M22" s="38"/>
      <c r="N22" s="39"/>
    </row>
    <row r="23" spans="2:16" x14ac:dyDescent="0.25">
      <c r="B23" s="40" t="str">
        <f>[1]ORÇ!B58</f>
        <v>COMPOSIÇÃO 4</v>
      </c>
      <c r="C23" s="41"/>
      <c r="D23" s="42" t="s">
        <v>21</v>
      </c>
      <c r="E23" s="43"/>
      <c r="F23" s="43"/>
      <c r="G23" s="43"/>
      <c r="H23" s="43"/>
      <c r="I23" s="43"/>
      <c r="J23" s="43"/>
      <c r="K23" s="43"/>
      <c r="L23" s="44"/>
      <c r="M23" s="45" t="s">
        <v>5</v>
      </c>
      <c r="N23" s="46" t="s">
        <v>22</v>
      </c>
    </row>
    <row r="24" spans="2:16" x14ac:dyDescent="0.25">
      <c r="B24" s="47" t="s">
        <v>23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</row>
    <row r="25" spans="2:16" x14ac:dyDescent="0.25">
      <c r="B25" s="84" t="s">
        <v>8</v>
      </c>
      <c r="C25" s="52" t="s">
        <v>9</v>
      </c>
      <c r="D25" s="50"/>
      <c r="E25" s="50"/>
      <c r="F25" s="50"/>
      <c r="G25" s="50" t="s">
        <v>10</v>
      </c>
      <c r="H25" s="50"/>
      <c r="I25" s="50"/>
      <c r="J25" s="51"/>
      <c r="K25" s="52" t="s">
        <v>11</v>
      </c>
      <c r="L25" s="52" t="s">
        <v>12</v>
      </c>
      <c r="M25" s="45" t="s">
        <v>13</v>
      </c>
      <c r="N25" s="53" t="s">
        <v>14</v>
      </c>
    </row>
    <row r="26" spans="2:16" x14ac:dyDescent="0.25">
      <c r="B26" s="85" t="s">
        <v>15</v>
      </c>
      <c r="C26" s="86">
        <v>94963</v>
      </c>
      <c r="D26" s="87" t="s">
        <v>24</v>
      </c>
      <c r="E26" s="87"/>
      <c r="F26" s="87"/>
      <c r="G26" s="87"/>
      <c r="H26" s="87"/>
      <c r="I26" s="87"/>
      <c r="J26" s="88"/>
      <c r="K26" s="89" t="s">
        <v>25</v>
      </c>
      <c r="L26" s="90">
        <v>1.0500000000000001E-2</v>
      </c>
      <c r="M26" s="91">
        <v>467.02</v>
      </c>
      <c r="N26" s="62">
        <f t="shared" ref="N26:N31" si="0">ROUND(L26*M26,2)</f>
        <v>4.9000000000000004</v>
      </c>
    </row>
    <row r="27" spans="2:16" x14ac:dyDescent="0.25">
      <c r="B27" s="85" t="s">
        <v>26</v>
      </c>
      <c r="C27" s="86">
        <v>7155</v>
      </c>
      <c r="D27" s="87" t="s">
        <v>27</v>
      </c>
      <c r="E27" s="87"/>
      <c r="F27" s="87"/>
      <c r="G27" s="87"/>
      <c r="H27" s="87"/>
      <c r="I27" s="87"/>
      <c r="J27" s="88"/>
      <c r="K27" s="92" t="s">
        <v>28</v>
      </c>
      <c r="L27" s="93">
        <v>0.35</v>
      </c>
      <c r="M27" s="91">
        <v>25.36</v>
      </c>
      <c r="N27" s="62">
        <f t="shared" si="0"/>
        <v>8.8800000000000008</v>
      </c>
    </row>
    <row r="28" spans="2:16" x14ac:dyDescent="0.25">
      <c r="B28" s="85" t="s">
        <v>26</v>
      </c>
      <c r="C28" s="86">
        <v>1346</v>
      </c>
      <c r="D28" s="88" t="s">
        <v>29</v>
      </c>
      <c r="E28" s="94"/>
      <c r="F28" s="94"/>
      <c r="G28" s="94"/>
      <c r="H28" s="94"/>
      <c r="I28" s="94"/>
      <c r="J28" s="94"/>
      <c r="K28" s="95" t="s">
        <v>28</v>
      </c>
      <c r="L28" s="93">
        <v>0.4</v>
      </c>
      <c r="M28" s="91">
        <v>52.48</v>
      </c>
      <c r="N28" s="62">
        <f t="shared" si="0"/>
        <v>20.99</v>
      </c>
    </row>
    <row r="29" spans="2:16" x14ac:dyDescent="0.25">
      <c r="B29" s="85" t="s">
        <v>26</v>
      </c>
      <c r="C29" s="86">
        <v>43132</v>
      </c>
      <c r="D29" s="88" t="s">
        <v>30</v>
      </c>
      <c r="E29" s="94"/>
      <c r="F29" s="94"/>
      <c r="G29" s="94"/>
      <c r="H29" s="94"/>
      <c r="I29" s="94"/>
      <c r="J29" s="94"/>
      <c r="K29" s="95" t="s">
        <v>31</v>
      </c>
      <c r="L29" s="93">
        <v>0.08</v>
      </c>
      <c r="M29" s="91">
        <v>23.43</v>
      </c>
      <c r="N29" s="62">
        <f t="shared" si="0"/>
        <v>1.87</v>
      </c>
    </row>
    <row r="30" spans="2:16" x14ac:dyDescent="0.25">
      <c r="B30" s="85" t="s">
        <v>15</v>
      </c>
      <c r="C30" s="86">
        <v>88309</v>
      </c>
      <c r="D30" s="88" t="s">
        <v>32</v>
      </c>
      <c r="E30" s="94"/>
      <c r="F30" s="94"/>
      <c r="G30" s="94"/>
      <c r="H30" s="94"/>
      <c r="I30" s="94"/>
      <c r="J30" s="94"/>
      <c r="K30" s="95" t="s">
        <v>17</v>
      </c>
      <c r="L30" s="93">
        <v>0.4</v>
      </c>
      <c r="M30" s="91">
        <v>21.31</v>
      </c>
      <c r="N30" s="62">
        <f t="shared" si="0"/>
        <v>8.52</v>
      </c>
    </row>
    <row r="31" spans="2:16" x14ac:dyDescent="0.25">
      <c r="B31" s="85" t="s">
        <v>15</v>
      </c>
      <c r="C31" s="86">
        <v>88316</v>
      </c>
      <c r="D31" s="88" t="s">
        <v>33</v>
      </c>
      <c r="E31" s="94"/>
      <c r="F31" s="94"/>
      <c r="G31" s="94"/>
      <c r="H31" s="94"/>
      <c r="I31" s="94"/>
      <c r="J31" s="94"/>
      <c r="K31" s="95" t="s">
        <v>17</v>
      </c>
      <c r="L31" s="93">
        <v>0.45</v>
      </c>
      <c r="M31" s="91">
        <v>17.09</v>
      </c>
      <c r="N31" s="62">
        <f t="shared" si="0"/>
        <v>7.69</v>
      </c>
    </row>
    <row r="32" spans="2:16" x14ac:dyDescent="0.25">
      <c r="B32" s="96"/>
      <c r="C32" s="97"/>
      <c r="D32" s="37" t="s">
        <v>34</v>
      </c>
      <c r="E32" s="38"/>
      <c r="F32" s="38"/>
      <c r="G32" s="38"/>
      <c r="H32" s="38"/>
      <c r="I32" s="38"/>
      <c r="J32" s="38"/>
      <c r="K32" s="73"/>
      <c r="L32" s="74"/>
      <c r="M32" s="75"/>
      <c r="N32" s="76">
        <f>SUM(N26:N31)</f>
        <v>52.849999999999994</v>
      </c>
    </row>
    <row r="33" spans="2:16" x14ac:dyDescent="0.25"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P33" s="98" t="s">
        <v>35</v>
      </c>
    </row>
    <row r="34" spans="2:16" x14ac:dyDescent="0.25">
      <c r="B34" s="83" t="s">
        <v>20</v>
      </c>
      <c r="C34" s="74"/>
      <c r="D34" s="37" t="s">
        <v>3</v>
      </c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98" t="s">
        <v>36</v>
      </c>
      <c r="P34">
        <v>41.22</v>
      </c>
    </row>
    <row r="35" spans="2:16" ht="29.25" customHeight="1" x14ac:dyDescent="0.25">
      <c r="B35" s="40" t="str">
        <f>[1]ORÇ!B60</f>
        <v>SINAPI</v>
      </c>
      <c r="C35" s="41"/>
      <c r="D35" s="42" t="s">
        <v>37</v>
      </c>
      <c r="E35" s="43"/>
      <c r="F35" s="43"/>
      <c r="G35" s="43"/>
      <c r="H35" s="43"/>
      <c r="I35" s="43"/>
      <c r="J35" s="43"/>
      <c r="K35" s="43"/>
      <c r="L35" s="44"/>
      <c r="M35" s="45" t="s">
        <v>5</v>
      </c>
      <c r="N35" s="46" t="s">
        <v>6</v>
      </c>
      <c r="O35" t="s">
        <v>38</v>
      </c>
      <c r="P35">
        <v>31.06</v>
      </c>
    </row>
    <row r="36" spans="2:16" x14ac:dyDescent="0.25">
      <c r="B36" s="47" t="s">
        <v>39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99"/>
      <c r="P36" s="99"/>
    </row>
    <row r="37" spans="2:16" ht="26.25" x14ac:dyDescent="0.25">
      <c r="B37" s="84" t="s">
        <v>8</v>
      </c>
      <c r="C37" s="52" t="s">
        <v>9</v>
      </c>
      <c r="D37" s="50"/>
      <c r="E37" s="50"/>
      <c r="F37" s="50"/>
      <c r="G37" s="50" t="s">
        <v>10</v>
      </c>
      <c r="H37" s="50"/>
      <c r="I37" s="50"/>
      <c r="J37" s="51"/>
      <c r="K37" s="52" t="s">
        <v>11</v>
      </c>
      <c r="L37" s="52" t="s">
        <v>12</v>
      </c>
      <c r="M37" s="45" t="s">
        <v>13</v>
      </c>
      <c r="N37" s="53" t="s">
        <v>14</v>
      </c>
      <c r="P37" s="100" t="s">
        <v>40</v>
      </c>
    </row>
    <row r="38" spans="2:16" ht="26.25" x14ac:dyDescent="0.25">
      <c r="B38" s="101" t="s">
        <v>41</v>
      </c>
      <c r="C38" s="102"/>
      <c r="D38" s="103" t="s">
        <v>42</v>
      </c>
      <c r="E38" s="87"/>
      <c r="F38" s="87"/>
      <c r="G38" s="87"/>
      <c r="H38" s="87"/>
      <c r="I38" s="87"/>
      <c r="J38" s="88"/>
      <c r="K38" s="89" t="s">
        <v>31</v>
      </c>
      <c r="L38" s="93">
        <f>ROUND(Q38*R34,2)</f>
        <v>0</v>
      </c>
      <c r="M38" s="91">
        <v>11.4</v>
      </c>
      <c r="N38" s="62">
        <f t="shared" ref="N38:N46" si="1">ROUND(L38*M38,2)</f>
        <v>0</v>
      </c>
      <c r="P38" s="100" t="s">
        <v>43</v>
      </c>
    </row>
    <row r="39" spans="2:16" ht="39" x14ac:dyDescent="0.25">
      <c r="B39" s="101" t="s">
        <v>41</v>
      </c>
      <c r="C39" s="102"/>
      <c r="D39" s="103" t="s">
        <v>44</v>
      </c>
      <c r="E39" s="87"/>
      <c r="F39" s="87"/>
      <c r="G39" s="87"/>
      <c r="H39" s="87"/>
      <c r="I39" s="87"/>
      <c r="J39" s="88"/>
      <c r="K39" s="89" t="s">
        <v>31</v>
      </c>
      <c r="L39" s="93">
        <f>ROUND(Q39*Q35,2)</f>
        <v>0</v>
      </c>
      <c r="M39" s="91">
        <v>11.41</v>
      </c>
      <c r="N39" s="62">
        <f t="shared" si="1"/>
        <v>0</v>
      </c>
      <c r="P39" s="100" t="s">
        <v>45</v>
      </c>
    </row>
    <row r="40" spans="2:16" x14ac:dyDescent="0.25">
      <c r="B40" s="85" t="s">
        <v>26</v>
      </c>
      <c r="C40" s="86">
        <v>41955</v>
      </c>
      <c r="D40" s="103" t="s">
        <v>46</v>
      </c>
      <c r="E40" s="87"/>
      <c r="F40" s="87"/>
      <c r="G40" s="87"/>
      <c r="H40" s="87"/>
      <c r="I40" s="87"/>
      <c r="J40" s="88"/>
      <c r="K40" s="92" t="s">
        <v>31</v>
      </c>
      <c r="L40" s="93">
        <f>(Q38+Q39)*Q37</f>
        <v>0</v>
      </c>
      <c r="M40" s="91">
        <v>78.42</v>
      </c>
      <c r="N40" s="62">
        <f t="shared" si="1"/>
        <v>0</v>
      </c>
    </row>
    <row r="41" spans="2:16" x14ac:dyDescent="0.25">
      <c r="B41" s="85" t="s">
        <v>15</v>
      </c>
      <c r="C41" s="86">
        <v>98746</v>
      </c>
      <c r="D41" s="103" t="s">
        <v>47</v>
      </c>
      <c r="E41" s="87"/>
      <c r="F41" s="87"/>
      <c r="G41" s="87"/>
      <c r="H41" s="87"/>
      <c r="I41" s="87"/>
      <c r="J41" s="88"/>
      <c r="K41" s="92" t="s">
        <v>48</v>
      </c>
      <c r="L41" s="93">
        <f>ROUND((Q38+Q39)/1.4,2)</f>
        <v>0</v>
      </c>
      <c r="M41" s="91">
        <v>54.73</v>
      </c>
      <c r="N41" s="62">
        <f t="shared" si="1"/>
        <v>0</v>
      </c>
    </row>
    <row r="42" spans="2:16" x14ac:dyDescent="0.25">
      <c r="B42" s="85" t="s">
        <v>26</v>
      </c>
      <c r="C42" s="86">
        <v>20259</v>
      </c>
      <c r="D42" s="103" t="s">
        <v>49</v>
      </c>
      <c r="E42" s="87"/>
      <c r="F42" s="87"/>
      <c r="G42" s="87"/>
      <c r="H42" s="87"/>
      <c r="I42" s="87"/>
      <c r="J42" s="88"/>
      <c r="K42" s="92" t="s">
        <v>50</v>
      </c>
      <c r="L42" s="93">
        <f>L41</f>
        <v>0</v>
      </c>
      <c r="M42" s="91">
        <v>11</v>
      </c>
      <c r="N42" s="62">
        <f t="shared" si="1"/>
        <v>0</v>
      </c>
    </row>
    <row r="43" spans="2:16" x14ac:dyDescent="0.25">
      <c r="B43" s="101" t="s">
        <v>51</v>
      </c>
      <c r="C43" s="102"/>
      <c r="D43" s="103" t="s">
        <v>52</v>
      </c>
      <c r="E43" s="87"/>
      <c r="F43" s="87"/>
      <c r="G43" s="87"/>
      <c r="H43" s="87"/>
      <c r="I43" s="87"/>
      <c r="J43" s="88"/>
      <c r="K43" s="92" t="s">
        <v>53</v>
      </c>
      <c r="L43" s="93">
        <v>50.32</v>
      </c>
      <c r="M43" s="91">
        <v>339.33</v>
      </c>
      <c r="N43" s="62">
        <f t="shared" si="1"/>
        <v>17075.09</v>
      </c>
      <c r="P43" s="104"/>
    </row>
    <row r="44" spans="2:16" x14ac:dyDescent="0.25">
      <c r="B44" s="85" t="s">
        <v>26</v>
      </c>
      <c r="C44" s="86">
        <v>11029</v>
      </c>
      <c r="D44" s="103" t="s">
        <v>54</v>
      </c>
      <c r="E44" s="87"/>
      <c r="F44" s="87"/>
      <c r="G44" s="87"/>
      <c r="H44" s="87"/>
      <c r="I44" s="87"/>
      <c r="J44" s="88"/>
      <c r="K44" s="92" t="s">
        <v>55</v>
      </c>
      <c r="L44" s="93">
        <f>ROUND(3.15*L43,2)</f>
        <v>158.51</v>
      </c>
      <c r="M44" s="91">
        <v>2.1800000000000002</v>
      </c>
      <c r="N44" s="62">
        <f t="shared" si="1"/>
        <v>345.55</v>
      </c>
      <c r="P44" s="104"/>
    </row>
    <row r="45" spans="2:16" x14ac:dyDescent="0.25">
      <c r="B45" s="85" t="s">
        <v>15</v>
      </c>
      <c r="C45" s="86">
        <v>88323</v>
      </c>
      <c r="D45" s="103" t="s">
        <v>56</v>
      </c>
      <c r="E45" s="87"/>
      <c r="F45" s="87"/>
      <c r="G45" s="87"/>
      <c r="H45" s="87"/>
      <c r="I45" s="87"/>
      <c r="J45" s="88"/>
      <c r="K45" s="92" t="s">
        <v>17</v>
      </c>
      <c r="L45" s="93">
        <v>1.7</v>
      </c>
      <c r="M45" s="91">
        <v>20.88</v>
      </c>
      <c r="N45" s="62">
        <f t="shared" si="1"/>
        <v>35.5</v>
      </c>
      <c r="P45" s="104"/>
    </row>
    <row r="46" spans="2:16" x14ac:dyDescent="0.25">
      <c r="B46" s="85" t="s">
        <v>15</v>
      </c>
      <c r="C46" s="86">
        <v>88238</v>
      </c>
      <c r="D46" s="103" t="s">
        <v>57</v>
      </c>
      <c r="E46" s="87"/>
      <c r="F46" s="87"/>
      <c r="G46" s="87"/>
      <c r="H46" s="87"/>
      <c r="I46" s="87"/>
      <c r="J46" s="88"/>
      <c r="K46" s="92" t="s">
        <v>17</v>
      </c>
      <c r="L46" s="93">
        <v>1.62</v>
      </c>
      <c r="M46" s="91">
        <v>17.100000000000001</v>
      </c>
      <c r="N46" s="62">
        <f t="shared" si="1"/>
        <v>27.7</v>
      </c>
    </row>
    <row r="47" spans="2:16" x14ac:dyDescent="0.25">
      <c r="B47" s="96"/>
      <c r="C47" s="97"/>
      <c r="D47" s="37" t="s">
        <v>34</v>
      </c>
      <c r="E47" s="38"/>
      <c r="F47" s="38"/>
      <c r="G47" s="38"/>
      <c r="H47" s="38"/>
      <c r="I47" s="38"/>
      <c r="J47" s="38"/>
      <c r="K47" s="73"/>
      <c r="L47" s="74"/>
      <c r="M47" s="75"/>
      <c r="N47" s="105">
        <f>SUM(N38:N46)</f>
        <v>17483.84</v>
      </c>
    </row>
    <row r="48" spans="2:16" x14ac:dyDescent="0.25">
      <c r="B48" s="25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2:16" x14ac:dyDescent="0.25">
      <c r="B49" s="83" t="s">
        <v>20</v>
      </c>
      <c r="C49" s="74"/>
      <c r="D49" s="37" t="s">
        <v>3</v>
      </c>
      <c r="E49" s="38"/>
      <c r="F49" s="38"/>
      <c r="G49" s="38"/>
      <c r="H49" s="38"/>
      <c r="I49" s="38"/>
      <c r="J49" s="38"/>
      <c r="K49" s="38"/>
      <c r="L49" s="38"/>
      <c r="M49" s="38"/>
      <c r="N49" s="39"/>
      <c r="O49" s="98"/>
    </row>
    <row r="50" spans="2:16" x14ac:dyDescent="0.25">
      <c r="B50" s="40" t="str">
        <f>[1]ORÇ!B61</f>
        <v>SINAPI</v>
      </c>
      <c r="C50" s="41"/>
      <c r="D50" s="42" t="s">
        <v>58</v>
      </c>
      <c r="E50" s="43"/>
      <c r="F50" s="43"/>
      <c r="G50" s="43"/>
      <c r="H50" s="43"/>
      <c r="I50" s="43"/>
      <c r="J50" s="43"/>
      <c r="K50" s="43"/>
      <c r="L50" s="44"/>
      <c r="M50" s="45" t="s">
        <v>5</v>
      </c>
      <c r="N50" s="46" t="s">
        <v>6</v>
      </c>
    </row>
    <row r="51" spans="2:16" x14ac:dyDescent="0.25">
      <c r="B51" s="47" t="s">
        <v>59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</row>
    <row r="52" spans="2:16" x14ac:dyDescent="0.25">
      <c r="B52" s="84" t="s">
        <v>8</v>
      </c>
      <c r="C52" s="52" t="s">
        <v>9</v>
      </c>
      <c r="D52" s="50"/>
      <c r="E52" s="50"/>
      <c r="F52" s="50"/>
      <c r="G52" s="50" t="s">
        <v>10</v>
      </c>
      <c r="H52" s="50"/>
      <c r="I52" s="50"/>
      <c r="J52" s="51"/>
      <c r="K52" s="52" t="s">
        <v>11</v>
      </c>
      <c r="L52" s="52" t="s">
        <v>12</v>
      </c>
      <c r="M52" s="45" t="s">
        <v>13</v>
      </c>
      <c r="N52" s="53" t="s">
        <v>14</v>
      </c>
      <c r="P52" s="100"/>
    </row>
    <row r="53" spans="2:16" x14ac:dyDescent="0.25">
      <c r="B53" s="85" t="s">
        <v>26</v>
      </c>
      <c r="C53" s="86">
        <v>11027</v>
      </c>
      <c r="D53" s="103" t="s">
        <v>60</v>
      </c>
      <c r="E53" s="87"/>
      <c r="F53" s="87"/>
      <c r="G53" s="87"/>
      <c r="H53" s="87"/>
      <c r="I53" s="87"/>
      <c r="J53" s="88"/>
      <c r="K53" s="92" t="s">
        <v>31</v>
      </c>
      <c r="L53" s="93">
        <f>(0.4*0.4)*12.4</f>
        <v>1.9840000000000004</v>
      </c>
      <c r="M53" s="91">
        <v>13.49</v>
      </c>
      <c r="N53" s="62">
        <f t="shared" ref="N53:N59" si="2">ROUND(L53*M53,2)</f>
        <v>26.76</v>
      </c>
    </row>
    <row r="54" spans="2:16" x14ac:dyDescent="0.25">
      <c r="B54" s="85" t="s">
        <v>15</v>
      </c>
      <c r="C54" s="86">
        <v>98746</v>
      </c>
      <c r="D54" s="103" t="s">
        <v>47</v>
      </c>
      <c r="E54" s="87"/>
      <c r="F54" s="87"/>
      <c r="G54" s="87"/>
      <c r="H54" s="87"/>
      <c r="I54" s="87"/>
      <c r="J54" s="88"/>
      <c r="K54" s="92" t="s">
        <v>48</v>
      </c>
      <c r="L54" s="93">
        <f>0.5*4</f>
        <v>2</v>
      </c>
      <c r="M54" s="91">
        <v>54.73</v>
      </c>
      <c r="N54" s="62">
        <f t="shared" si="2"/>
        <v>109.46</v>
      </c>
    </row>
    <row r="55" spans="2:16" x14ac:dyDescent="0.25">
      <c r="B55" s="85" t="s">
        <v>15</v>
      </c>
      <c r="C55" s="86">
        <v>98546</v>
      </c>
      <c r="D55" s="103" t="s">
        <v>61</v>
      </c>
      <c r="E55" s="87"/>
      <c r="F55" s="87"/>
      <c r="G55" s="87"/>
      <c r="H55" s="87"/>
      <c r="I55" s="87"/>
      <c r="J55" s="88"/>
      <c r="K55" s="92" t="s">
        <v>28</v>
      </c>
      <c r="L55" s="93">
        <f>(0.5*0.5)</f>
        <v>0.25</v>
      </c>
      <c r="M55" s="91">
        <v>105.08</v>
      </c>
      <c r="N55" s="62">
        <f t="shared" si="2"/>
        <v>26.27</v>
      </c>
    </row>
    <row r="56" spans="2:16" x14ac:dyDescent="0.25">
      <c r="B56" s="106" t="s">
        <v>15</v>
      </c>
      <c r="C56" s="107">
        <v>100758</v>
      </c>
      <c r="D56" s="108" t="s">
        <v>62</v>
      </c>
      <c r="E56" s="108"/>
      <c r="F56" s="108"/>
      <c r="G56" s="108"/>
      <c r="H56" s="108"/>
      <c r="I56" s="108"/>
      <c r="J56" s="108"/>
      <c r="K56" s="92" t="s">
        <v>28</v>
      </c>
      <c r="L56" s="109">
        <f>L55</f>
        <v>0.25</v>
      </c>
      <c r="M56" s="61">
        <v>38.119999999999997</v>
      </c>
      <c r="N56" s="62">
        <f t="shared" si="2"/>
        <v>9.5299999999999994</v>
      </c>
    </row>
    <row r="57" spans="2:16" x14ac:dyDescent="0.25">
      <c r="B57" s="54" t="s">
        <v>15</v>
      </c>
      <c r="C57" s="59">
        <v>100717</v>
      </c>
      <c r="D57" s="56" t="s">
        <v>63</v>
      </c>
      <c r="E57" s="57"/>
      <c r="F57" s="57"/>
      <c r="G57" s="57"/>
      <c r="H57" s="57"/>
      <c r="I57" s="57"/>
      <c r="J57" s="58"/>
      <c r="K57" s="110" t="s">
        <v>64</v>
      </c>
      <c r="L57" s="111">
        <f>L56</f>
        <v>0.25</v>
      </c>
      <c r="M57" s="70">
        <v>7.34</v>
      </c>
      <c r="N57" s="62">
        <f t="shared" si="2"/>
        <v>1.84</v>
      </c>
    </row>
    <row r="58" spans="2:16" x14ac:dyDescent="0.25">
      <c r="B58" s="85" t="s">
        <v>15</v>
      </c>
      <c r="C58" s="86">
        <v>88240</v>
      </c>
      <c r="D58" s="103" t="s">
        <v>65</v>
      </c>
      <c r="E58" s="87"/>
      <c r="F58" s="87"/>
      <c r="G58" s="87"/>
      <c r="H58" s="87"/>
      <c r="I58" s="87"/>
      <c r="J58" s="88"/>
      <c r="K58" s="92" t="s">
        <v>17</v>
      </c>
      <c r="L58" s="93">
        <v>1.62</v>
      </c>
      <c r="M58" s="91">
        <v>14.57</v>
      </c>
      <c r="N58" s="62">
        <f t="shared" si="2"/>
        <v>23.6</v>
      </c>
    </row>
    <row r="59" spans="2:16" x14ac:dyDescent="0.25">
      <c r="B59" s="85" t="s">
        <v>15</v>
      </c>
      <c r="C59" s="86">
        <v>88317</v>
      </c>
      <c r="D59" s="103" t="s">
        <v>66</v>
      </c>
      <c r="E59" s="87"/>
      <c r="F59" s="87"/>
      <c r="G59" s="87"/>
      <c r="H59" s="87"/>
      <c r="I59" s="87"/>
      <c r="J59" s="88"/>
      <c r="K59" s="95" t="s">
        <v>17</v>
      </c>
      <c r="L59" s="93">
        <v>1.66</v>
      </c>
      <c r="M59" s="91">
        <v>22.01</v>
      </c>
      <c r="N59" s="62">
        <f t="shared" si="2"/>
        <v>36.54</v>
      </c>
    </row>
    <row r="60" spans="2:16" x14ac:dyDescent="0.25">
      <c r="B60" s="96"/>
      <c r="C60" s="97"/>
      <c r="D60" s="37" t="s">
        <v>34</v>
      </c>
      <c r="E60" s="38"/>
      <c r="F60" s="38"/>
      <c r="G60" s="38"/>
      <c r="H60" s="38"/>
      <c r="I60" s="38"/>
      <c r="J60" s="38"/>
      <c r="K60" s="73"/>
      <c r="L60" s="74"/>
      <c r="M60" s="75"/>
      <c r="N60" s="76">
        <f>SUM(N53:N59)</f>
        <v>234</v>
      </c>
    </row>
    <row r="61" spans="2:16" x14ac:dyDescent="0.25">
      <c r="B61" s="25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2:16" x14ac:dyDescent="0.25">
      <c r="B62" s="35" t="s">
        <v>2</v>
      </c>
      <c r="C62" s="112" t="s">
        <v>3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</row>
    <row r="63" spans="2:16" x14ac:dyDescent="0.25">
      <c r="B63" s="40" t="str">
        <f>[1]ORÇ!B116</f>
        <v>COMPOSIÇÃO 6</v>
      </c>
      <c r="C63" s="25"/>
      <c r="D63" s="42" t="s">
        <v>67</v>
      </c>
      <c r="E63" s="43"/>
      <c r="F63" s="43"/>
      <c r="G63" s="43"/>
      <c r="H63" s="43"/>
      <c r="I63" s="43"/>
      <c r="J63" s="43"/>
      <c r="K63" s="43"/>
      <c r="L63" s="44"/>
      <c r="M63" s="45" t="s">
        <v>5</v>
      </c>
      <c r="N63" s="46" t="s">
        <v>6</v>
      </c>
    </row>
    <row r="64" spans="2:16" x14ac:dyDescent="0.25">
      <c r="B64" s="112" t="s">
        <v>68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</row>
    <row r="65" spans="2:16" x14ac:dyDescent="0.25">
      <c r="B65" s="113" t="s">
        <v>8</v>
      </c>
      <c r="C65" s="114" t="s">
        <v>9</v>
      </c>
      <c r="D65" s="115" t="s">
        <v>10</v>
      </c>
      <c r="E65" s="116"/>
      <c r="F65" s="116"/>
      <c r="G65" s="116"/>
      <c r="H65" s="116"/>
      <c r="I65" s="116"/>
      <c r="J65" s="117"/>
      <c r="K65" s="114" t="s">
        <v>11</v>
      </c>
      <c r="L65" s="114" t="s">
        <v>12</v>
      </c>
      <c r="M65" s="118" t="s">
        <v>13</v>
      </c>
      <c r="N65" s="118" t="s">
        <v>14</v>
      </c>
    </row>
    <row r="66" spans="2:16" x14ac:dyDescent="0.25">
      <c r="B66" s="119" t="s">
        <v>15</v>
      </c>
      <c r="C66" s="59">
        <v>90806</v>
      </c>
      <c r="D66" s="56" t="s">
        <v>69</v>
      </c>
      <c r="E66" s="57"/>
      <c r="F66" s="57"/>
      <c r="G66" s="57"/>
      <c r="H66" s="57"/>
      <c r="I66" s="57"/>
      <c r="J66" s="58"/>
      <c r="K66" s="59" t="s">
        <v>6</v>
      </c>
      <c r="L66" s="120">
        <v>2</v>
      </c>
      <c r="M66" s="61">
        <v>287.8</v>
      </c>
      <c r="N66" s="62">
        <f>ROUND(M66*L66,2)</f>
        <v>575.6</v>
      </c>
    </row>
    <row r="67" spans="2:16" x14ac:dyDescent="0.25">
      <c r="B67" s="119" t="s">
        <v>15</v>
      </c>
      <c r="C67" s="59">
        <v>90789</v>
      </c>
      <c r="D67" s="56" t="s">
        <v>70</v>
      </c>
      <c r="E67" s="57"/>
      <c r="F67" s="57"/>
      <c r="G67" s="57"/>
      <c r="H67" s="57"/>
      <c r="I67" s="57"/>
      <c r="J67" s="58"/>
      <c r="K67" s="59" t="s">
        <v>6</v>
      </c>
      <c r="L67" s="120">
        <v>2</v>
      </c>
      <c r="M67" s="61">
        <v>643.64</v>
      </c>
      <c r="N67" s="62">
        <f>ROUND(M67*L67,2)</f>
        <v>1287.28</v>
      </c>
    </row>
    <row r="68" spans="2:16" x14ac:dyDescent="0.25">
      <c r="B68" s="119" t="s">
        <v>15</v>
      </c>
      <c r="C68" s="59">
        <v>91306</v>
      </c>
      <c r="D68" s="56" t="s">
        <v>71</v>
      </c>
      <c r="E68" s="57"/>
      <c r="F68" s="57"/>
      <c r="G68" s="57"/>
      <c r="H68" s="57"/>
      <c r="I68" s="57"/>
      <c r="J68" s="58"/>
      <c r="K68" s="59" t="s">
        <v>6</v>
      </c>
      <c r="L68" s="120">
        <v>1</v>
      </c>
      <c r="M68" s="61">
        <v>136.01</v>
      </c>
      <c r="N68" s="62">
        <f>ROUND(M68*L68,2)</f>
        <v>136.01</v>
      </c>
    </row>
    <row r="69" spans="2:16" x14ac:dyDescent="0.25">
      <c r="B69" s="37" t="s">
        <v>34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73"/>
      <c r="N69" s="105">
        <f>SUM(N66:N68)</f>
        <v>1998.89</v>
      </c>
    </row>
    <row r="70" spans="2:16" x14ac:dyDescent="0.2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81"/>
      <c r="O70" s="77"/>
      <c r="P70" s="77"/>
    </row>
    <row r="71" spans="2:16" x14ac:dyDescent="0.25">
      <c r="B71" s="35" t="s">
        <v>2</v>
      </c>
      <c r="C71" s="112" t="s">
        <v>3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</row>
    <row r="72" spans="2:16" x14ac:dyDescent="0.25">
      <c r="B72" s="40" t="str">
        <f>[1]ORÇ!B119</f>
        <v>COMPOSIÇÃO 9</v>
      </c>
      <c r="C72" s="25"/>
      <c r="D72" s="42" t="s">
        <v>72</v>
      </c>
      <c r="E72" s="43"/>
      <c r="F72" s="43"/>
      <c r="G72" s="43"/>
      <c r="H72" s="43"/>
      <c r="I72" s="43"/>
      <c r="J72" s="43"/>
      <c r="K72" s="43"/>
      <c r="L72" s="44"/>
      <c r="M72" s="45" t="s">
        <v>5</v>
      </c>
      <c r="N72" s="46" t="s">
        <v>6</v>
      </c>
    </row>
    <row r="73" spans="2:16" x14ac:dyDescent="0.25">
      <c r="B73" s="112" t="s">
        <v>73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</row>
    <row r="74" spans="2:16" x14ac:dyDescent="0.25">
      <c r="B74" s="113" t="s">
        <v>8</v>
      </c>
      <c r="C74" s="114" t="s">
        <v>9</v>
      </c>
      <c r="D74" s="115" t="s">
        <v>10</v>
      </c>
      <c r="E74" s="116"/>
      <c r="F74" s="116"/>
      <c r="G74" s="116"/>
      <c r="H74" s="116"/>
      <c r="I74" s="116"/>
      <c r="J74" s="117"/>
      <c r="K74" s="114" t="s">
        <v>11</v>
      </c>
      <c r="L74" s="114" t="s">
        <v>12</v>
      </c>
      <c r="M74" s="118" t="s">
        <v>13</v>
      </c>
      <c r="N74" s="118" t="s">
        <v>14</v>
      </c>
    </row>
    <row r="75" spans="2:16" x14ac:dyDescent="0.25">
      <c r="B75" s="119" t="s">
        <v>15</v>
      </c>
      <c r="C75" s="59">
        <v>102185</v>
      </c>
      <c r="D75" s="56" t="s">
        <v>74</v>
      </c>
      <c r="E75" s="57"/>
      <c r="F75" s="57"/>
      <c r="G75" s="57"/>
      <c r="H75" s="57"/>
      <c r="I75" s="57"/>
      <c r="J75" s="58"/>
      <c r="K75" s="59" t="s">
        <v>75</v>
      </c>
      <c r="L75" s="120">
        <v>2</v>
      </c>
      <c r="M75" s="61">
        <v>4329.7700000000004</v>
      </c>
      <c r="N75" s="62">
        <f>ROUND(M75*L75,2)</f>
        <v>8659.5400000000009</v>
      </c>
    </row>
    <row r="76" spans="2:16" x14ac:dyDescent="0.25">
      <c r="B76" s="119" t="s">
        <v>26</v>
      </c>
      <c r="C76" s="59">
        <v>39624</v>
      </c>
      <c r="D76" s="56" t="s">
        <v>76</v>
      </c>
      <c r="E76" s="57"/>
      <c r="F76" s="57"/>
      <c r="G76" s="57"/>
      <c r="H76" s="57"/>
      <c r="I76" s="57"/>
      <c r="J76" s="58"/>
      <c r="K76" s="59" t="s">
        <v>77</v>
      </c>
      <c r="L76" s="120">
        <v>1</v>
      </c>
      <c r="M76" s="61">
        <v>1217.79</v>
      </c>
      <c r="N76" s="62">
        <f>ROUND(M76*L76,2)</f>
        <v>1217.79</v>
      </c>
    </row>
    <row r="77" spans="2:16" x14ac:dyDescent="0.25">
      <c r="B77" s="119" t="s">
        <v>15</v>
      </c>
      <c r="C77" s="59">
        <v>88309</v>
      </c>
      <c r="D77" s="108" t="s">
        <v>32</v>
      </c>
      <c r="E77" s="108"/>
      <c r="F77" s="108"/>
      <c r="G77" s="108"/>
      <c r="H77" s="108"/>
      <c r="I77" s="108"/>
      <c r="J77" s="108"/>
      <c r="K77" s="59" t="s">
        <v>17</v>
      </c>
      <c r="L77" s="121">
        <v>1.9</v>
      </c>
      <c r="M77" s="61">
        <v>21.31</v>
      </c>
      <c r="N77" s="62">
        <f>ROUND(M77*L77,2)</f>
        <v>40.49</v>
      </c>
    </row>
    <row r="78" spans="2:16" x14ac:dyDescent="0.25">
      <c r="B78" s="119" t="s">
        <v>15</v>
      </c>
      <c r="C78" s="59">
        <v>88316</v>
      </c>
      <c r="D78" s="108" t="s">
        <v>33</v>
      </c>
      <c r="E78" s="108"/>
      <c r="F78" s="108"/>
      <c r="G78" s="108"/>
      <c r="H78" s="108"/>
      <c r="I78" s="108"/>
      <c r="J78" s="108"/>
      <c r="K78" s="59" t="s">
        <v>17</v>
      </c>
      <c r="L78" s="121">
        <v>1.2</v>
      </c>
      <c r="M78" s="61">
        <v>17.09</v>
      </c>
      <c r="N78" s="62">
        <f>ROUND(M78*L78,2)</f>
        <v>20.51</v>
      </c>
    </row>
    <row r="79" spans="2:16" x14ac:dyDescent="0.25">
      <c r="B79" s="37" t="s">
        <v>34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73"/>
      <c r="N79" s="105">
        <f>SUM(N75:N78)</f>
        <v>9938.3300000000017</v>
      </c>
    </row>
    <row r="80" spans="2:16" x14ac:dyDescent="0.2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81"/>
      <c r="O80" s="77"/>
      <c r="P80" s="77"/>
    </row>
    <row r="81" spans="2:14" x14ac:dyDescent="0.25">
      <c r="B81" s="35" t="s">
        <v>2</v>
      </c>
      <c r="C81" s="37" t="s">
        <v>3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73"/>
    </row>
    <row r="82" spans="2:14" x14ac:dyDescent="0.25">
      <c r="B82" s="40" t="str">
        <f>[1]ORÇ!B118</f>
        <v>COMPOSIÇÃO 8</v>
      </c>
      <c r="C82" s="25"/>
      <c r="D82" s="42" t="s">
        <v>78</v>
      </c>
      <c r="E82" s="43"/>
      <c r="F82" s="43"/>
      <c r="G82" s="43"/>
      <c r="H82" s="43"/>
      <c r="I82" s="43"/>
      <c r="J82" s="43"/>
      <c r="K82" s="43"/>
      <c r="L82" s="44"/>
      <c r="M82" s="45" t="s">
        <v>5</v>
      </c>
      <c r="N82" s="46" t="s">
        <v>6</v>
      </c>
    </row>
    <row r="83" spans="2:14" x14ac:dyDescent="0.25">
      <c r="B83" s="37" t="s">
        <v>79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73"/>
    </row>
    <row r="84" spans="2:14" x14ac:dyDescent="0.25">
      <c r="B84" s="113" t="s">
        <v>8</v>
      </c>
      <c r="C84" s="114" t="s">
        <v>9</v>
      </c>
      <c r="D84" s="122" t="s">
        <v>10</v>
      </c>
      <c r="E84" s="123"/>
      <c r="F84" s="123"/>
      <c r="G84" s="123"/>
      <c r="H84" s="123"/>
      <c r="I84" s="123"/>
      <c r="J84" s="124"/>
      <c r="K84" s="114" t="s">
        <v>11</v>
      </c>
      <c r="L84" s="114" t="s">
        <v>12</v>
      </c>
      <c r="M84" s="118" t="s">
        <v>13</v>
      </c>
      <c r="N84" s="118" t="s">
        <v>14</v>
      </c>
    </row>
    <row r="85" spans="2:14" x14ac:dyDescent="0.25">
      <c r="B85" s="119" t="s">
        <v>26</v>
      </c>
      <c r="C85" s="59">
        <v>3104</v>
      </c>
      <c r="D85" s="56" t="s">
        <v>80</v>
      </c>
      <c r="E85" s="57"/>
      <c r="F85" s="57"/>
      <c r="G85" s="57"/>
      <c r="H85" s="57"/>
      <c r="I85" s="57"/>
      <c r="J85" s="58"/>
      <c r="K85" s="59" t="s">
        <v>55</v>
      </c>
      <c r="L85" s="125">
        <v>1</v>
      </c>
      <c r="M85" s="61">
        <v>146.47</v>
      </c>
      <c r="N85" s="62">
        <f>ROUND(M85*L85,2)</f>
        <v>146.47</v>
      </c>
    </row>
    <row r="86" spans="2:14" x14ac:dyDescent="0.25">
      <c r="B86" s="119" t="s">
        <v>26</v>
      </c>
      <c r="C86" s="59">
        <v>5031</v>
      </c>
      <c r="D86" s="56" t="s">
        <v>81</v>
      </c>
      <c r="E86" s="57"/>
      <c r="F86" s="57"/>
      <c r="G86" s="57"/>
      <c r="H86" s="57"/>
      <c r="I86" s="57"/>
      <c r="J86" s="58"/>
      <c r="K86" s="59" t="s">
        <v>28</v>
      </c>
      <c r="L86" s="125">
        <f>1.5*2.1</f>
        <v>3.1500000000000004</v>
      </c>
      <c r="M86" s="61">
        <v>583</v>
      </c>
      <c r="N86" s="62">
        <f>ROUND(M86*L86,2)</f>
        <v>1836.45</v>
      </c>
    </row>
    <row r="87" spans="2:14" x14ac:dyDescent="0.25">
      <c r="B87" s="119" t="s">
        <v>26</v>
      </c>
      <c r="C87" s="59">
        <v>39624</v>
      </c>
      <c r="D87" s="56" t="s">
        <v>76</v>
      </c>
      <c r="E87" s="57"/>
      <c r="F87" s="57"/>
      <c r="G87" s="57"/>
      <c r="H87" s="57"/>
      <c r="I87" s="57"/>
      <c r="J87" s="58"/>
      <c r="K87" s="59" t="s">
        <v>77</v>
      </c>
      <c r="L87" s="125">
        <v>1</v>
      </c>
      <c r="M87" s="61">
        <v>1217.79</v>
      </c>
      <c r="N87" s="62">
        <f>ROUND(M87*L87,2)</f>
        <v>1217.79</v>
      </c>
    </row>
    <row r="88" spans="2:14" x14ac:dyDescent="0.25">
      <c r="B88" s="119" t="s">
        <v>15</v>
      </c>
      <c r="C88" s="59">
        <v>88309</v>
      </c>
      <c r="D88" s="56" t="s">
        <v>32</v>
      </c>
      <c r="E88" s="57"/>
      <c r="F88" s="57"/>
      <c r="G88" s="57"/>
      <c r="H88" s="57"/>
      <c r="I88" s="57"/>
      <c r="J88" s="58"/>
      <c r="K88" s="59" t="s">
        <v>17</v>
      </c>
      <c r="L88" s="126">
        <v>2.024</v>
      </c>
      <c r="M88" s="61">
        <v>21.31</v>
      </c>
      <c r="N88" s="62">
        <f>ROUND(M88*L88,2)</f>
        <v>43.13</v>
      </c>
    </row>
    <row r="89" spans="2:14" x14ac:dyDescent="0.25">
      <c r="B89" s="119" t="s">
        <v>15</v>
      </c>
      <c r="C89" s="59">
        <v>88316</v>
      </c>
      <c r="D89" s="56" t="s">
        <v>33</v>
      </c>
      <c r="E89" s="57"/>
      <c r="F89" s="57"/>
      <c r="G89" s="57"/>
      <c r="H89" s="57"/>
      <c r="I89" s="57"/>
      <c r="J89" s="58"/>
      <c r="K89" s="59" t="s">
        <v>17</v>
      </c>
      <c r="L89" s="126">
        <v>1.1759999999999999</v>
      </c>
      <c r="M89" s="61">
        <v>17.09</v>
      </c>
      <c r="N89" s="62">
        <f>ROUND(M89*L89,2)</f>
        <v>20.100000000000001</v>
      </c>
    </row>
    <row r="90" spans="2:14" x14ac:dyDescent="0.25">
      <c r="B90" s="37" t="s">
        <v>34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73"/>
      <c r="N90" s="105">
        <f>SUM(N85:N89)</f>
        <v>3263.94</v>
      </c>
    </row>
    <row r="91" spans="2:14" x14ac:dyDescent="0.25">
      <c r="B91" s="25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2:14" x14ac:dyDescent="0.25">
      <c r="B92" s="35" t="s">
        <v>2</v>
      </c>
      <c r="C92" s="112" t="s">
        <v>3</v>
      </c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</row>
    <row r="93" spans="2:14" x14ac:dyDescent="0.25">
      <c r="B93" s="40">
        <f>[1]ORÇ!B121</f>
        <v>0</v>
      </c>
      <c r="C93" s="25"/>
      <c r="D93" s="42" t="s">
        <v>82</v>
      </c>
      <c r="E93" s="43"/>
      <c r="F93" s="43"/>
      <c r="G93" s="43"/>
      <c r="H93" s="43"/>
      <c r="I93" s="43"/>
      <c r="J93" s="43"/>
      <c r="K93" s="43"/>
      <c r="L93" s="44"/>
      <c r="M93" s="45" t="s">
        <v>5</v>
      </c>
      <c r="N93" s="46" t="s">
        <v>6</v>
      </c>
    </row>
    <row r="94" spans="2:14" x14ac:dyDescent="0.25">
      <c r="B94" s="37" t="s">
        <v>83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9"/>
    </row>
    <row r="95" spans="2:14" x14ac:dyDescent="0.25">
      <c r="B95" s="48" t="s">
        <v>8</v>
      </c>
      <c r="C95" s="52" t="s">
        <v>9</v>
      </c>
      <c r="D95" s="127" t="s">
        <v>10</v>
      </c>
      <c r="E95" s="127"/>
      <c r="F95" s="127"/>
      <c r="G95" s="127"/>
      <c r="H95" s="127"/>
      <c r="I95" s="127"/>
      <c r="J95" s="127"/>
      <c r="K95" s="52" t="s">
        <v>11</v>
      </c>
      <c r="L95" s="52" t="s">
        <v>12</v>
      </c>
      <c r="M95" s="45" t="s">
        <v>13</v>
      </c>
      <c r="N95" s="53" t="s">
        <v>14</v>
      </c>
    </row>
    <row r="96" spans="2:14" x14ac:dyDescent="0.25">
      <c r="B96" s="106" t="s">
        <v>26</v>
      </c>
      <c r="C96" s="107">
        <v>4948</v>
      </c>
      <c r="D96" s="56" t="s">
        <v>84</v>
      </c>
      <c r="E96" s="57"/>
      <c r="F96" s="57"/>
      <c r="G96" s="57"/>
      <c r="H96" s="57"/>
      <c r="I96" s="57"/>
      <c r="J96" s="58"/>
      <c r="K96" s="128" t="s">
        <v>28</v>
      </c>
      <c r="L96" s="109">
        <f>4*2</f>
        <v>8</v>
      </c>
      <c r="M96" s="61">
        <v>540.16999999999996</v>
      </c>
      <c r="N96" s="62">
        <f t="shared" ref="N96:N104" si="3">ROUND(M96*L96,2)</f>
        <v>4321.3599999999997</v>
      </c>
    </row>
    <row r="97" spans="2:14" x14ac:dyDescent="0.25">
      <c r="B97" s="106" t="s">
        <v>15</v>
      </c>
      <c r="C97" s="107">
        <v>88631</v>
      </c>
      <c r="D97" s="56" t="s">
        <v>85</v>
      </c>
      <c r="E97" s="57"/>
      <c r="F97" s="57"/>
      <c r="G97" s="57"/>
      <c r="H97" s="57"/>
      <c r="I97" s="57"/>
      <c r="J97" s="58"/>
      <c r="K97" s="128" t="s">
        <v>25</v>
      </c>
      <c r="L97" s="109">
        <v>0.08</v>
      </c>
      <c r="M97" s="61">
        <v>618.28</v>
      </c>
      <c r="N97" s="62">
        <f t="shared" si="3"/>
        <v>49.46</v>
      </c>
    </row>
    <row r="98" spans="2:14" x14ac:dyDescent="0.25">
      <c r="B98" s="106" t="s">
        <v>26</v>
      </c>
      <c r="C98" s="107">
        <v>11447</v>
      </c>
      <c r="D98" s="56" t="s">
        <v>86</v>
      </c>
      <c r="E98" s="57"/>
      <c r="F98" s="57"/>
      <c r="G98" s="57"/>
      <c r="H98" s="57"/>
      <c r="I98" s="57"/>
      <c r="J98" s="58"/>
      <c r="K98" s="128" t="s">
        <v>75</v>
      </c>
      <c r="L98" s="109">
        <v>6</v>
      </c>
      <c r="M98" s="61">
        <v>35.520000000000003</v>
      </c>
      <c r="N98" s="62">
        <f t="shared" si="3"/>
        <v>213.12</v>
      </c>
    </row>
    <row r="99" spans="2:14" x14ac:dyDescent="0.25">
      <c r="B99" s="106" t="s">
        <v>26</v>
      </c>
      <c r="C99" s="107">
        <v>3107</v>
      </c>
      <c r="D99" s="56" t="s">
        <v>87</v>
      </c>
      <c r="E99" s="57"/>
      <c r="F99" s="57"/>
      <c r="G99" s="57"/>
      <c r="H99" s="57"/>
      <c r="I99" s="57"/>
      <c r="J99" s="58"/>
      <c r="K99" s="128" t="s">
        <v>75</v>
      </c>
      <c r="L99" s="109">
        <v>1</v>
      </c>
      <c r="M99" s="61">
        <v>8.42</v>
      </c>
      <c r="N99" s="62">
        <f t="shared" si="3"/>
        <v>8.42</v>
      </c>
    </row>
    <row r="100" spans="2:14" x14ac:dyDescent="0.25">
      <c r="B100" s="129" t="s">
        <v>26</v>
      </c>
      <c r="C100" s="130">
        <v>5090</v>
      </c>
      <c r="D100" s="56" t="s">
        <v>88</v>
      </c>
      <c r="E100" s="57"/>
      <c r="F100" s="57"/>
      <c r="G100" s="57"/>
      <c r="H100" s="57"/>
      <c r="I100" s="57"/>
      <c r="J100" s="58"/>
      <c r="K100" s="110" t="s">
        <v>75</v>
      </c>
      <c r="L100" s="111">
        <v>1</v>
      </c>
      <c r="M100" s="70">
        <v>19.95</v>
      </c>
      <c r="N100" s="62">
        <f t="shared" si="3"/>
        <v>19.95</v>
      </c>
    </row>
    <row r="101" spans="2:14" x14ac:dyDescent="0.25">
      <c r="B101" s="54" t="s">
        <v>15</v>
      </c>
      <c r="C101" s="59">
        <v>100717</v>
      </c>
      <c r="D101" s="56" t="s">
        <v>63</v>
      </c>
      <c r="E101" s="57"/>
      <c r="F101" s="57"/>
      <c r="G101" s="57"/>
      <c r="H101" s="57"/>
      <c r="I101" s="57"/>
      <c r="J101" s="58"/>
      <c r="K101" s="110" t="s">
        <v>28</v>
      </c>
      <c r="L101" s="111">
        <f>L102</f>
        <v>8</v>
      </c>
      <c r="M101" s="70">
        <v>7.34</v>
      </c>
      <c r="N101" s="62">
        <f t="shared" si="3"/>
        <v>58.72</v>
      </c>
    </row>
    <row r="102" spans="2:14" x14ac:dyDescent="0.25">
      <c r="B102" s="54" t="s">
        <v>15</v>
      </c>
      <c r="C102" s="59">
        <v>100754</v>
      </c>
      <c r="D102" s="56" t="s">
        <v>89</v>
      </c>
      <c r="E102" s="57"/>
      <c r="F102" s="57"/>
      <c r="G102" s="57"/>
      <c r="H102" s="57"/>
      <c r="I102" s="57"/>
      <c r="J102" s="58"/>
      <c r="K102" s="110" t="s">
        <v>28</v>
      </c>
      <c r="L102" s="111">
        <f>(L96)</f>
        <v>8</v>
      </c>
      <c r="M102" s="70">
        <v>22.69</v>
      </c>
      <c r="N102" s="62">
        <f t="shared" si="3"/>
        <v>181.52</v>
      </c>
    </row>
    <row r="103" spans="2:14" x14ac:dyDescent="0.25">
      <c r="B103" s="54" t="s">
        <v>15</v>
      </c>
      <c r="C103" s="59">
        <v>88242</v>
      </c>
      <c r="D103" s="56" t="s">
        <v>90</v>
      </c>
      <c r="E103" s="57"/>
      <c r="F103" s="57"/>
      <c r="G103" s="57"/>
      <c r="H103" s="57"/>
      <c r="I103" s="57"/>
      <c r="J103" s="58"/>
      <c r="K103" s="110" t="s">
        <v>17</v>
      </c>
      <c r="L103" s="111">
        <v>1.8</v>
      </c>
      <c r="M103" s="70">
        <v>17.13</v>
      </c>
      <c r="N103" s="62">
        <f t="shared" si="3"/>
        <v>30.83</v>
      </c>
    </row>
    <row r="104" spans="2:14" x14ac:dyDescent="0.25">
      <c r="B104" s="54" t="s">
        <v>15</v>
      </c>
      <c r="C104" s="59">
        <v>88309</v>
      </c>
      <c r="D104" s="56" t="s">
        <v>32</v>
      </c>
      <c r="E104" s="57"/>
      <c r="F104" s="57"/>
      <c r="G104" s="57"/>
      <c r="H104" s="57"/>
      <c r="I104" s="57"/>
      <c r="J104" s="58"/>
      <c r="K104" s="110" t="s">
        <v>17</v>
      </c>
      <c r="L104" s="111">
        <v>1.6</v>
      </c>
      <c r="M104" s="70">
        <v>21.31</v>
      </c>
      <c r="N104" s="62">
        <f t="shared" si="3"/>
        <v>34.1</v>
      </c>
    </row>
    <row r="105" spans="2:14" x14ac:dyDescent="0.25">
      <c r="B105" s="37" t="s">
        <v>34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73"/>
      <c r="N105" s="105">
        <f>SUM(N96:N104)</f>
        <v>4917.4800000000005</v>
      </c>
    </row>
    <row r="106" spans="2:14" x14ac:dyDescent="0.25">
      <c r="B106" s="25"/>
      <c r="C106" s="25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2:14" x14ac:dyDescent="0.25">
      <c r="B107" s="35" t="s">
        <v>2</v>
      </c>
      <c r="C107" s="112" t="s">
        <v>3</v>
      </c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</row>
    <row r="108" spans="2:14" x14ac:dyDescent="0.25">
      <c r="B108" s="40">
        <f>[1]ORÇ!B122</f>
        <v>0</v>
      </c>
      <c r="C108" s="25"/>
      <c r="D108" s="42" t="s">
        <v>91</v>
      </c>
      <c r="E108" s="43"/>
      <c r="F108" s="43"/>
      <c r="G108" s="43"/>
      <c r="H108" s="43"/>
      <c r="I108" s="43"/>
      <c r="J108" s="43"/>
      <c r="K108" s="43"/>
      <c r="L108" s="44"/>
      <c r="M108" s="45" t="s">
        <v>5</v>
      </c>
      <c r="N108" s="46" t="s">
        <v>6</v>
      </c>
    </row>
    <row r="109" spans="2:14" x14ac:dyDescent="0.25">
      <c r="B109" s="37" t="s">
        <v>92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9"/>
    </row>
    <row r="110" spans="2:14" x14ac:dyDescent="0.25">
      <c r="B110" s="48" t="s">
        <v>8</v>
      </c>
      <c r="C110" s="52" t="s">
        <v>9</v>
      </c>
      <c r="D110" s="127" t="s">
        <v>10</v>
      </c>
      <c r="E110" s="127"/>
      <c r="F110" s="127"/>
      <c r="G110" s="127"/>
      <c r="H110" s="127"/>
      <c r="I110" s="127"/>
      <c r="J110" s="127"/>
      <c r="K110" s="52" t="s">
        <v>11</v>
      </c>
      <c r="L110" s="52" t="s">
        <v>12</v>
      </c>
      <c r="M110" s="45" t="s">
        <v>13</v>
      </c>
      <c r="N110" s="53" t="s">
        <v>14</v>
      </c>
    </row>
    <row r="111" spans="2:14" x14ac:dyDescent="0.25">
      <c r="B111" s="106" t="s">
        <v>26</v>
      </c>
      <c r="C111" s="107">
        <v>4948</v>
      </c>
      <c r="D111" s="56" t="s">
        <v>84</v>
      </c>
      <c r="E111" s="57"/>
      <c r="F111" s="57"/>
      <c r="G111" s="57"/>
      <c r="H111" s="57"/>
      <c r="I111" s="57"/>
      <c r="J111" s="58"/>
      <c r="K111" s="128" t="s">
        <v>28</v>
      </c>
      <c r="L111" s="109">
        <f>1*2</f>
        <v>2</v>
      </c>
      <c r="M111" s="61">
        <v>540.16999999999996</v>
      </c>
      <c r="N111" s="62">
        <f t="shared" ref="N111:N119" si="4">ROUND(M111*L111,2)</f>
        <v>1080.3399999999999</v>
      </c>
    </row>
    <row r="112" spans="2:14" x14ac:dyDescent="0.25">
      <c r="B112" s="106" t="s">
        <v>15</v>
      </c>
      <c r="C112" s="107">
        <v>88631</v>
      </c>
      <c r="D112" s="56" t="s">
        <v>85</v>
      </c>
      <c r="E112" s="57"/>
      <c r="F112" s="57"/>
      <c r="G112" s="57"/>
      <c r="H112" s="57"/>
      <c r="I112" s="57"/>
      <c r="J112" s="58"/>
      <c r="K112" s="128" t="s">
        <v>25</v>
      </c>
      <c r="L112" s="109">
        <v>0.08</v>
      </c>
      <c r="M112" s="61">
        <v>618.28</v>
      </c>
      <c r="N112" s="62">
        <f t="shared" si="4"/>
        <v>49.46</v>
      </c>
    </row>
    <row r="113" spans="2:16" x14ac:dyDescent="0.25">
      <c r="B113" s="106" t="s">
        <v>26</v>
      </c>
      <c r="C113" s="107">
        <v>11447</v>
      </c>
      <c r="D113" s="56" t="s">
        <v>86</v>
      </c>
      <c r="E113" s="57"/>
      <c r="F113" s="57"/>
      <c r="G113" s="57"/>
      <c r="H113" s="57"/>
      <c r="I113" s="57"/>
      <c r="J113" s="58"/>
      <c r="K113" s="128" t="s">
        <v>75</v>
      </c>
      <c r="L113" s="109">
        <v>3</v>
      </c>
      <c r="M113" s="61">
        <v>35.520000000000003</v>
      </c>
      <c r="N113" s="62">
        <f t="shared" si="4"/>
        <v>106.56</v>
      </c>
    </row>
    <row r="114" spans="2:16" x14ac:dyDescent="0.25">
      <c r="B114" s="106" t="s">
        <v>26</v>
      </c>
      <c r="C114" s="107">
        <v>3107</v>
      </c>
      <c r="D114" s="56" t="s">
        <v>87</v>
      </c>
      <c r="E114" s="57"/>
      <c r="F114" s="57"/>
      <c r="G114" s="57"/>
      <c r="H114" s="57"/>
      <c r="I114" s="57"/>
      <c r="J114" s="58"/>
      <c r="K114" s="128" t="s">
        <v>75</v>
      </c>
      <c r="L114" s="109">
        <v>1</v>
      </c>
      <c r="M114" s="61">
        <v>8.42</v>
      </c>
      <c r="N114" s="62">
        <f t="shared" si="4"/>
        <v>8.42</v>
      </c>
    </row>
    <row r="115" spans="2:16" x14ac:dyDescent="0.25">
      <c r="B115" s="129" t="s">
        <v>26</v>
      </c>
      <c r="C115" s="130">
        <v>5090</v>
      </c>
      <c r="D115" s="56" t="s">
        <v>88</v>
      </c>
      <c r="E115" s="57"/>
      <c r="F115" s="57"/>
      <c r="G115" s="57"/>
      <c r="H115" s="57"/>
      <c r="I115" s="57"/>
      <c r="J115" s="58"/>
      <c r="K115" s="110" t="s">
        <v>75</v>
      </c>
      <c r="L115" s="111">
        <v>1</v>
      </c>
      <c r="M115" s="70">
        <v>19.95</v>
      </c>
      <c r="N115" s="62">
        <f t="shared" si="4"/>
        <v>19.95</v>
      </c>
    </row>
    <row r="116" spans="2:16" x14ac:dyDescent="0.25">
      <c r="B116" s="54" t="s">
        <v>15</v>
      </c>
      <c r="C116" s="59">
        <v>100717</v>
      </c>
      <c r="D116" s="56" t="s">
        <v>63</v>
      </c>
      <c r="E116" s="57"/>
      <c r="F116" s="57"/>
      <c r="G116" s="57"/>
      <c r="H116" s="57"/>
      <c r="I116" s="57"/>
      <c r="J116" s="58"/>
      <c r="K116" s="110" t="s">
        <v>28</v>
      </c>
      <c r="L116" s="111">
        <f>L117</f>
        <v>2</v>
      </c>
      <c r="M116" s="70">
        <v>7.34</v>
      </c>
      <c r="N116" s="62">
        <f t="shared" si="4"/>
        <v>14.68</v>
      </c>
    </row>
    <row r="117" spans="2:16" x14ac:dyDescent="0.25">
      <c r="B117" s="54" t="s">
        <v>15</v>
      </c>
      <c r="C117" s="59">
        <v>100754</v>
      </c>
      <c r="D117" s="56" t="s">
        <v>89</v>
      </c>
      <c r="E117" s="57"/>
      <c r="F117" s="57"/>
      <c r="G117" s="57"/>
      <c r="H117" s="57"/>
      <c r="I117" s="57"/>
      <c r="J117" s="58"/>
      <c r="K117" s="110" t="s">
        <v>28</v>
      </c>
      <c r="L117" s="111">
        <f>(L111)</f>
        <v>2</v>
      </c>
      <c r="M117" s="70">
        <v>22.69</v>
      </c>
      <c r="N117" s="62">
        <f t="shared" si="4"/>
        <v>45.38</v>
      </c>
    </row>
    <row r="118" spans="2:16" x14ac:dyDescent="0.25">
      <c r="B118" s="54" t="s">
        <v>15</v>
      </c>
      <c r="C118" s="59">
        <v>88242</v>
      </c>
      <c r="D118" s="56" t="s">
        <v>90</v>
      </c>
      <c r="E118" s="57"/>
      <c r="F118" s="57"/>
      <c r="G118" s="57"/>
      <c r="H118" s="57"/>
      <c r="I118" s="57"/>
      <c r="J118" s="58"/>
      <c r="K118" s="110" t="s">
        <v>17</v>
      </c>
      <c r="L118" s="111">
        <v>1</v>
      </c>
      <c r="M118" s="70">
        <v>17.13</v>
      </c>
      <c r="N118" s="62">
        <f t="shared" si="4"/>
        <v>17.13</v>
      </c>
    </row>
    <row r="119" spans="2:16" x14ac:dyDescent="0.25">
      <c r="B119" s="54" t="s">
        <v>15</v>
      </c>
      <c r="C119" s="59">
        <v>88309</v>
      </c>
      <c r="D119" s="56" t="s">
        <v>32</v>
      </c>
      <c r="E119" s="57"/>
      <c r="F119" s="57"/>
      <c r="G119" s="57"/>
      <c r="H119" s="57"/>
      <c r="I119" s="57"/>
      <c r="J119" s="58"/>
      <c r="K119" s="110" t="s">
        <v>17</v>
      </c>
      <c r="L119" s="111">
        <v>0.8</v>
      </c>
      <c r="M119" s="70">
        <v>21.31</v>
      </c>
      <c r="N119" s="62">
        <f t="shared" si="4"/>
        <v>17.05</v>
      </c>
    </row>
    <row r="120" spans="2:16" x14ac:dyDescent="0.25">
      <c r="B120" s="37" t="s">
        <v>34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73"/>
      <c r="N120" s="105">
        <f>SUM(N111:N119)</f>
        <v>1358.9700000000003</v>
      </c>
    </row>
    <row r="121" spans="2:16" x14ac:dyDescent="0.25">
      <c r="B121" s="25"/>
      <c r="C121" s="25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2:16" x14ac:dyDescent="0.25">
      <c r="B122" s="83" t="s">
        <v>20</v>
      </c>
      <c r="C122" s="74"/>
      <c r="D122" s="37" t="s">
        <v>3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9"/>
    </row>
    <row r="123" spans="2:16" x14ac:dyDescent="0.25">
      <c r="B123" s="131" t="str">
        <f>[1]ORÇ!B147</f>
        <v>COMPOSIÇÃO 13</v>
      </c>
      <c r="C123" s="132"/>
      <c r="D123" s="133" t="s">
        <v>93</v>
      </c>
      <c r="E123" s="134"/>
      <c r="F123" s="134"/>
      <c r="G123" s="134"/>
      <c r="H123" s="134"/>
      <c r="I123" s="134"/>
      <c r="J123" s="134"/>
      <c r="K123" s="134"/>
      <c r="L123" s="135"/>
      <c r="M123" s="45" t="s">
        <v>5</v>
      </c>
      <c r="N123" s="136" t="s">
        <v>48</v>
      </c>
    </row>
    <row r="124" spans="2:16" x14ac:dyDescent="0.25">
      <c r="B124" s="47" t="s">
        <v>94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9"/>
    </row>
    <row r="125" spans="2:16" x14ac:dyDescent="0.25">
      <c r="B125" s="84" t="s">
        <v>8</v>
      </c>
      <c r="C125" s="52" t="s">
        <v>9</v>
      </c>
      <c r="D125" s="50"/>
      <c r="E125" s="50"/>
      <c r="F125" s="50"/>
      <c r="G125" s="50" t="s">
        <v>10</v>
      </c>
      <c r="H125" s="50"/>
      <c r="I125" s="50"/>
      <c r="J125" s="51"/>
      <c r="K125" s="52" t="s">
        <v>11</v>
      </c>
      <c r="L125" s="52" t="s">
        <v>12</v>
      </c>
      <c r="M125" s="45" t="s">
        <v>13</v>
      </c>
      <c r="N125" s="137" t="s">
        <v>14</v>
      </c>
      <c r="P125">
        <v>0.9</v>
      </c>
    </row>
    <row r="126" spans="2:16" ht="25.5" x14ac:dyDescent="0.25">
      <c r="B126" s="85" t="s">
        <v>41</v>
      </c>
      <c r="C126" s="138"/>
      <c r="D126" s="103" t="s">
        <v>95</v>
      </c>
      <c r="E126" s="87"/>
      <c r="F126" s="87"/>
      <c r="G126" s="87"/>
      <c r="H126" s="87"/>
      <c r="I126" s="87"/>
      <c r="J126" s="88"/>
      <c r="K126" s="95" t="s">
        <v>48</v>
      </c>
      <c r="L126" s="90">
        <v>1</v>
      </c>
      <c r="M126" s="139">
        <v>55.33</v>
      </c>
      <c r="N126" s="140">
        <f>ROUND(M126*L126,2)</f>
        <v>55.33</v>
      </c>
    </row>
    <row r="127" spans="2:16" x14ac:dyDescent="0.25">
      <c r="B127" s="85" t="s">
        <v>96</v>
      </c>
      <c r="C127" s="138">
        <v>280007</v>
      </c>
      <c r="D127" s="103" t="s">
        <v>97</v>
      </c>
      <c r="E127" s="87"/>
      <c r="F127" s="87"/>
      <c r="G127" s="87"/>
      <c r="H127" s="87"/>
      <c r="I127" s="87"/>
      <c r="J127" s="88"/>
      <c r="K127" s="92" t="s">
        <v>17</v>
      </c>
      <c r="L127" s="93">
        <v>0.6</v>
      </c>
      <c r="M127" s="139">
        <v>17.350000000000001</v>
      </c>
      <c r="N127" s="140">
        <f>ROUND(M127*L127,2)</f>
        <v>10.41</v>
      </c>
    </row>
    <row r="128" spans="2:16" x14ac:dyDescent="0.25">
      <c r="B128" s="85" t="s">
        <v>96</v>
      </c>
      <c r="C128" s="138">
        <v>280014</v>
      </c>
      <c r="D128" s="103" t="s">
        <v>98</v>
      </c>
      <c r="E128" s="87"/>
      <c r="F128" s="87"/>
      <c r="G128" s="87"/>
      <c r="H128" s="87"/>
      <c r="I128" s="87"/>
      <c r="J128" s="88"/>
      <c r="K128" s="95" t="s">
        <v>17</v>
      </c>
      <c r="L128" s="93">
        <v>1.2</v>
      </c>
      <c r="M128" s="139">
        <v>21.5</v>
      </c>
      <c r="N128" s="140">
        <f>ROUND(M128*L128,2)</f>
        <v>25.8</v>
      </c>
    </row>
    <row r="129" spans="2:16" x14ac:dyDescent="0.25">
      <c r="B129" s="96"/>
      <c r="C129" s="97"/>
      <c r="D129" s="141" t="s">
        <v>34</v>
      </c>
      <c r="E129" s="142"/>
      <c r="F129" s="142"/>
      <c r="G129" s="142"/>
      <c r="H129" s="142"/>
      <c r="I129" s="142"/>
      <c r="J129" s="142"/>
      <c r="K129" s="112"/>
      <c r="L129" s="74"/>
      <c r="M129" s="75"/>
      <c r="N129" s="105">
        <f>ROUND(SUM(N126:N128),2)</f>
        <v>91.54</v>
      </c>
    </row>
    <row r="130" spans="2:16" x14ac:dyDescent="0.25">
      <c r="B130" s="25"/>
      <c r="C130" s="25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P130" s="98"/>
    </row>
    <row r="131" spans="2:16" x14ac:dyDescent="0.25">
      <c r="B131" s="83" t="s">
        <v>20</v>
      </c>
      <c r="C131" s="74"/>
      <c r="D131" s="37" t="s">
        <v>3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39"/>
    </row>
    <row r="132" spans="2:16" x14ac:dyDescent="0.25">
      <c r="B132" s="131" t="str">
        <f>[1]ORÇ!B148</f>
        <v>COMPOSIÇÃO 14</v>
      </c>
      <c r="C132" s="132"/>
      <c r="D132" s="133" t="s">
        <v>99</v>
      </c>
      <c r="E132" s="134"/>
      <c r="F132" s="134"/>
      <c r="G132" s="134"/>
      <c r="H132" s="134"/>
      <c r="I132" s="134"/>
      <c r="J132" s="134"/>
      <c r="K132" s="134"/>
      <c r="L132" s="135"/>
      <c r="M132" s="45" t="s">
        <v>5</v>
      </c>
      <c r="N132" s="136" t="s">
        <v>48</v>
      </c>
    </row>
    <row r="133" spans="2:16" x14ac:dyDescent="0.25">
      <c r="B133" s="47" t="s">
        <v>100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/>
    </row>
    <row r="134" spans="2:16" x14ac:dyDescent="0.25">
      <c r="B134" s="84" t="s">
        <v>8</v>
      </c>
      <c r="C134" s="52" t="s">
        <v>9</v>
      </c>
      <c r="D134" s="50"/>
      <c r="E134" s="50"/>
      <c r="F134" s="50"/>
      <c r="G134" s="50" t="s">
        <v>10</v>
      </c>
      <c r="H134" s="50"/>
      <c r="I134" s="50"/>
      <c r="J134" s="51"/>
      <c r="K134" s="52" t="s">
        <v>11</v>
      </c>
      <c r="L134" s="52" t="s">
        <v>12</v>
      </c>
      <c r="M134" s="45" t="s">
        <v>13</v>
      </c>
      <c r="N134" s="137" t="s">
        <v>14</v>
      </c>
    </row>
    <row r="135" spans="2:16" ht="25.5" x14ac:dyDescent="0.25">
      <c r="B135" s="85" t="s">
        <v>41</v>
      </c>
      <c r="C135" s="138"/>
      <c r="D135" s="103" t="s">
        <v>101</v>
      </c>
      <c r="E135" s="87"/>
      <c r="F135" s="87"/>
      <c r="G135" s="87"/>
      <c r="H135" s="87"/>
      <c r="I135" s="87"/>
      <c r="J135" s="88"/>
      <c r="K135" s="95" t="s">
        <v>48</v>
      </c>
      <c r="L135" s="90">
        <v>1</v>
      </c>
      <c r="M135" s="139">
        <v>28.24</v>
      </c>
      <c r="N135" s="140">
        <f>ROUND(M135*L135,2)</f>
        <v>28.24</v>
      </c>
    </row>
    <row r="136" spans="2:16" x14ac:dyDescent="0.25">
      <c r="B136" s="85" t="s">
        <v>96</v>
      </c>
      <c r="C136" s="138">
        <v>280007</v>
      </c>
      <c r="D136" s="103" t="s">
        <v>97</v>
      </c>
      <c r="E136" s="87"/>
      <c r="F136" s="87"/>
      <c r="G136" s="87"/>
      <c r="H136" s="87"/>
      <c r="I136" s="87"/>
      <c r="J136" s="88"/>
      <c r="K136" s="92" t="s">
        <v>17</v>
      </c>
      <c r="L136" s="93">
        <v>0.3</v>
      </c>
      <c r="M136" s="139">
        <v>17.350000000000001</v>
      </c>
      <c r="N136" s="140">
        <f>ROUND(M136*L136,2)</f>
        <v>5.21</v>
      </c>
    </row>
    <row r="137" spans="2:16" x14ac:dyDescent="0.25">
      <c r="B137" s="85" t="s">
        <v>96</v>
      </c>
      <c r="C137" s="138">
        <v>280014</v>
      </c>
      <c r="D137" s="103" t="s">
        <v>98</v>
      </c>
      <c r="E137" s="87"/>
      <c r="F137" s="87"/>
      <c r="G137" s="87"/>
      <c r="H137" s="87"/>
      <c r="I137" s="87"/>
      <c r="J137" s="88"/>
      <c r="K137" s="95" t="s">
        <v>17</v>
      </c>
      <c r="L137" s="93">
        <v>0.6</v>
      </c>
      <c r="M137" s="139">
        <v>21.5</v>
      </c>
      <c r="N137" s="140">
        <f>ROUND(M137*L137,2)</f>
        <v>12.9</v>
      </c>
    </row>
    <row r="138" spans="2:16" x14ac:dyDescent="0.25">
      <c r="B138" s="96"/>
      <c r="C138" s="97"/>
      <c r="D138" s="37" t="s">
        <v>34</v>
      </c>
      <c r="E138" s="38"/>
      <c r="F138" s="38"/>
      <c r="G138" s="38"/>
      <c r="H138" s="38"/>
      <c r="I138" s="38"/>
      <c r="J138" s="38"/>
      <c r="K138" s="73"/>
      <c r="L138" s="74"/>
      <c r="M138" s="75"/>
      <c r="N138" s="105">
        <f>ROUND(SUM(N135:N137),2)</f>
        <v>46.35</v>
      </c>
    </row>
    <row r="139" spans="2:16" x14ac:dyDescent="0.25">
      <c r="B139" s="25"/>
      <c r="C139" s="25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2:16" x14ac:dyDescent="0.25">
      <c r="B140" s="83" t="s">
        <v>20</v>
      </c>
      <c r="C140" s="74"/>
      <c r="D140" s="37" t="s">
        <v>3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9"/>
    </row>
    <row r="141" spans="2:16" x14ac:dyDescent="0.25">
      <c r="B141" s="131" t="str">
        <f>[1]ORÇ!B149</f>
        <v>COMPOSIÇÃO 15</v>
      </c>
      <c r="C141" s="132"/>
      <c r="D141" s="133" t="s">
        <v>102</v>
      </c>
      <c r="E141" s="134"/>
      <c r="F141" s="134"/>
      <c r="G141" s="134"/>
      <c r="H141" s="134"/>
      <c r="I141" s="134"/>
      <c r="J141" s="134"/>
      <c r="K141" s="134"/>
      <c r="L141" s="135"/>
      <c r="M141" s="45" t="s">
        <v>5</v>
      </c>
      <c r="N141" s="136" t="s">
        <v>75</v>
      </c>
    </row>
    <row r="142" spans="2:16" x14ac:dyDescent="0.25">
      <c r="B142" s="47" t="s">
        <v>103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9"/>
    </row>
    <row r="143" spans="2:16" x14ac:dyDescent="0.25">
      <c r="B143" s="84" t="s">
        <v>8</v>
      </c>
      <c r="C143" s="52" t="s">
        <v>9</v>
      </c>
      <c r="D143" s="50"/>
      <c r="E143" s="50"/>
      <c r="F143" s="50"/>
      <c r="G143" s="50" t="s">
        <v>10</v>
      </c>
      <c r="H143" s="50"/>
      <c r="I143" s="50"/>
      <c r="J143" s="51"/>
      <c r="K143" s="52" t="s">
        <v>11</v>
      </c>
      <c r="L143" s="52" t="s">
        <v>12</v>
      </c>
      <c r="M143" s="45" t="s">
        <v>13</v>
      </c>
      <c r="N143" s="137" t="s">
        <v>14</v>
      </c>
    </row>
    <row r="144" spans="2:16" ht="25.5" x14ac:dyDescent="0.25">
      <c r="B144" s="85" t="s">
        <v>41</v>
      </c>
      <c r="C144" s="138"/>
      <c r="D144" s="103" t="s">
        <v>104</v>
      </c>
      <c r="E144" s="87"/>
      <c r="F144" s="87"/>
      <c r="G144" s="87"/>
      <c r="H144" s="87"/>
      <c r="I144" s="87"/>
      <c r="J144" s="88"/>
      <c r="K144" s="95" t="s">
        <v>75</v>
      </c>
      <c r="L144" s="90">
        <v>1</v>
      </c>
      <c r="M144" s="139">
        <v>103.99</v>
      </c>
      <c r="N144" s="140">
        <f>ROUND(M144*L144,2)</f>
        <v>103.99</v>
      </c>
    </row>
    <row r="145" spans="2:14" x14ac:dyDescent="0.25">
      <c r="B145" s="85" t="s">
        <v>96</v>
      </c>
      <c r="C145" s="138">
        <v>280007</v>
      </c>
      <c r="D145" s="103" t="s">
        <v>97</v>
      </c>
      <c r="E145" s="87"/>
      <c r="F145" s="87"/>
      <c r="G145" s="87"/>
      <c r="H145" s="87"/>
      <c r="I145" s="87"/>
      <c r="J145" s="88"/>
      <c r="K145" s="92" t="s">
        <v>17</v>
      </c>
      <c r="L145" s="93">
        <v>0.1</v>
      </c>
      <c r="M145" s="139">
        <v>17.350000000000001</v>
      </c>
      <c r="N145" s="140">
        <f>ROUND(M145*L145,2)</f>
        <v>1.74</v>
      </c>
    </row>
    <row r="146" spans="2:14" x14ac:dyDescent="0.25">
      <c r="B146" s="85" t="s">
        <v>96</v>
      </c>
      <c r="C146" s="138">
        <v>280014</v>
      </c>
      <c r="D146" s="103" t="s">
        <v>98</v>
      </c>
      <c r="E146" s="87"/>
      <c r="F146" s="87"/>
      <c r="G146" s="87"/>
      <c r="H146" s="87"/>
      <c r="I146" s="87"/>
      <c r="J146" s="88"/>
      <c r="K146" s="95" t="s">
        <v>17</v>
      </c>
      <c r="L146" s="93">
        <v>0.4</v>
      </c>
      <c r="M146" s="139">
        <v>21.5</v>
      </c>
      <c r="N146" s="140">
        <f>ROUND(M146*L146,2)</f>
        <v>8.6</v>
      </c>
    </row>
    <row r="147" spans="2:14" x14ac:dyDescent="0.25">
      <c r="B147" s="96"/>
      <c r="C147" s="97"/>
      <c r="D147" s="37" t="s">
        <v>34</v>
      </c>
      <c r="E147" s="38"/>
      <c r="F147" s="38"/>
      <c r="G147" s="38"/>
      <c r="H147" s="38"/>
      <c r="I147" s="38"/>
      <c r="J147" s="38"/>
      <c r="K147" s="73"/>
      <c r="L147" s="74"/>
      <c r="M147" s="75"/>
      <c r="N147" s="105">
        <f>ROUND(SUM(N144:N146),2)</f>
        <v>114.33</v>
      </c>
    </row>
    <row r="148" spans="2:14" x14ac:dyDescent="0.25">
      <c r="B148" s="25"/>
      <c r="C148" s="25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2:14" x14ac:dyDescent="0.25">
      <c r="B149" s="83" t="s">
        <v>20</v>
      </c>
      <c r="C149" s="74"/>
      <c r="D149" s="37" t="s">
        <v>3</v>
      </c>
      <c r="E149" s="38"/>
      <c r="F149" s="38"/>
      <c r="G149" s="38"/>
      <c r="H149" s="38"/>
      <c r="I149" s="38"/>
      <c r="J149" s="38"/>
      <c r="K149" s="38"/>
      <c r="L149" s="38"/>
      <c r="M149" s="38"/>
      <c r="N149" s="39"/>
    </row>
    <row r="150" spans="2:14" x14ac:dyDescent="0.25">
      <c r="B150" s="131" t="str">
        <f>[1]ORÇ!B150</f>
        <v>COMPOSIÇÃO 16</v>
      </c>
      <c r="C150" s="132"/>
      <c r="D150" s="133" t="s">
        <v>105</v>
      </c>
      <c r="E150" s="134"/>
      <c r="F150" s="134"/>
      <c r="G150" s="134"/>
      <c r="H150" s="134"/>
      <c r="I150" s="134"/>
      <c r="J150" s="134"/>
      <c r="K150" s="134"/>
      <c r="L150" s="135"/>
      <c r="M150" s="45" t="s">
        <v>5</v>
      </c>
      <c r="N150" s="136" t="s">
        <v>75</v>
      </c>
    </row>
    <row r="151" spans="2:14" x14ac:dyDescent="0.25">
      <c r="B151" s="47" t="s">
        <v>106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/>
    </row>
    <row r="152" spans="2:14" x14ac:dyDescent="0.25">
      <c r="B152" s="84" t="s">
        <v>8</v>
      </c>
      <c r="C152" s="52" t="s">
        <v>9</v>
      </c>
      <c r="D152" s="50"/>
      <c r="E152" s="50"/>
      <c r="F152" s="50"/>
      <c r="G152" s="50" t="s">
        <v>10</v>
      </c>
      <c r="H152" s="50"/>
      <c r="I152" s="50"/>
      <c r="J152" s="51"/>
      <c r="K152" s="52" t="s">
        <v>11</v>
      </c>
      <c r="L152" s="52" t="s">
        <v>12</v>
      </c>
      <c r="M152" s="45" t="s">
        <v>13</v>
      </c>
      <c r="N152" s="137" t="s">
        <v>14</v>
      </c>
    </row>
    <row r="153" spans="2:14" ht="25.5" x14ac:dyDescent="0.25">
      <c r="B153" s="85" t="s">
        <v>41</v>
      </c>
      <c r="C153" s="138"/>
      <c r="D153" s="103" t="s">
        <v>107</v>
      </c>
      <c r="E153" s="87"/>
      <c r="F153" s="87"/>
      <c r="G153" s="87"/>
      <c r="H153" s="87"/>
      <c r="I153" s="87"/>
      <c r="J153" s="88"/>
      <c r="K153" s="95" t="s">
        <v>75</v>
      </c>
      <c r="L153" s="90">
        <v>1</v>
      </c>
      <c r="M153" s="139">
        <v>10.48</v>
      </c>
      <c r="N153" s="140">
        <f>ROUND(M153*L153,2)</f>
        <v>10.48</v>
      </c>
    </row>
    <row r="154" spans="2:14" x14ac:dyDescent="0.25">
      <c r="B154" s="85" t="s">
        <v>96</v>
      </c>
      <c r="C154" s="138" t="s">
        <v>108</v>
      </c>
      <c r="D154" s="103" t="s">
        <v>97</v>
      </c>
      <c r="E154" s="87"/>
      <c r="F154" s="87"/>
      <c r="G154" s="87"/>
      <c r="H154" s="87"/>
      <c r="I154" s="87"/>
      <c r="J154" s="88"/>
      <c r="K154" s="92" t="s">
        <v>17</v>
      </c>
      <c r="L154" s="93">
        <v>0.1</v>
      </c>
      <c r="M154" s="139">
        <v>17.350000000000001</v>
      </c>
      <c r="N154" s="140">
        <f>ROUND(M154*L154,2)</f>
        <v>1.74</v>
      </c>
    </row>
    <row r="155" spans="2:14" x14ac:dyDescent="0.25">
      <c r="B155" s="85" t="s">
        <v>96</v>
      </c>
      <c r="C155" s="138" t="s">
        <v>109</v>
      </c>
      <c r="D155" s="103" t="s">
        <v>98</v>
      </c>
      <c r="E155" s="87"/>
      <c r="F155" s="87"/>
      <c r="G155" s="87"/>
      <c r="H155" s="87"/>
      <c r="I155" s="87"/>
      <c r="J155" s="88"/>
      <c r="K155" s="95" t="s">
        <v>17</v>
      </c>
      <c r="L155" s="93">
        <v>0.4</v>
      </c>
      <c r="M155" s="139">
        <v>21.5</v>
      </c>
      <c r="N155" s="140">
        <f>ROUND(M155*L155,2)</f>
        <v>8.6</v>
      </c>
    </row>
    <row r="156" spans="2:14" x14ac:dyDescent="0.25">
      <c r="B156" s="96"/>
      <c r="C156" s="97"/>
      <c r="D156" s="141" t="s">
        <v>34</v>
      </c>
      <c r="E156" s="142"/>
      <c r="F156" s="142"/>
      <c r="G156" s="142"/>
      <c r="H156" s="142"/>
      <c r="I156" s="142"/>
      <c r="J156" s="142"/>
      <c r="K156" s="112"/>
      <c r="L156" s="74"/>
      <c r="M156" s="75"/>
      <c r="N156" s="105">
        <f>ROUND(SUM(N153:N155),2)</f>
        <v>20.82</v>
      </c>
    </row>
    <row r="157" spans="2:14" x14ac:dyDescent="0.25">
      <c r="B157" s="25"/>
      <c r="C157" s="25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</row>
    <row r="158" spans="2:14" x14ac:dyDescent="0.25">
      <c r="B158" s="83" t="s">
        <v>20</v>
      </c>
      <c r="C158" s="74"/>
      <c r="D158" s="37" t="s">
        <v>3</v>
      </c>
      <c r="E158" s="38"/>
      <c r="F158" s="38"/>
      <c r="G158" s="38"/>
      <c r="H158" s="38"/>
      <c r="I158" s="38"/>
      <c r="J158" s="38"/>
      <c r="K158" s="38"/>
      <c r="L158" s="38"/>
      <c r="M158" s="38"/>
      <c r="N158" s="39"/>
    </row>
    <row r="159" spans="2:14" x14ac:dyDescent="0.25">
      <c r="B159" s="131" t="str">
        <f>[1]ORÇ!B151</f>
        <v>COMPOSIÇÃO 17</v>
      </c>
      <c r="C159" s="132"/>
      <c r="D159" s="133" t="s">
        <v>110</v>
      </c>
      <c r="E159" s="134"/>
      <c r="F159" s="134"/>
      <c r="G159" s="134"/>
      <c r="H159" s="134"/>
      <c r="I159" s="134"/>
      <c r="J159" s="134"/>
      <c r="K159" s="134"/>
      <c r="L159" s="135"/>
      <c r="M159" s="45" t="s">
        <v>5</v>
      </c>
      <c r="N159" s="136" t="s">
        <v>75</v>
      </c>
    </row>
    <row r="160" spans="2:14" x14ac:dyDescent="0.25">
      <c r="B160" s="47" t="s">
        <v>111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/>
    </row>
    <row r="161" spans="2:14" x14ac:dyDescent="0.25">
      <c r="B161" s="84" t="s">
        <v>8</v>
      </c>
      <c r="C161" s="52" t="s">
        <v>9</v>
      </c>
      <c r="D161" s="50"/>
      <c r="E161" s="50"/>
      <c r="F161" s="50"/>
      <c r="G161" s="50" t="s">
        <v>10</v>
      </c>
      <c r="H161" s="50"/>
      <c r="I161" s="50"/>
      <c r="J161" s="51"/>
      <c r="K161" s="52" t="s">
        <v>11</v>
      </c>
      <c r="L161" s="52" t="s">
        <v>12</v>
      </c>
      <c r="M161" s="45" t="s">
        <v>13</v>
      </c>
      <c r="N161" s="137" t="s">
        <v>14</v>
      </c>
    </row>
    <row r="162" spans="2:14" ht="25.5" x14ac:dyDescent="0.25">
      <c r="B162" s="85" t="s">
        <v>41</v>
      </c>
      <c r="C162" s="138"/>
      <c r="D162" s="103" t="s">
        <v>112</v>
      </c>
      <c r="E162" s="87"/>
      <c r="F162" s="87"/>
      <c r="G162" s="87"/>
      <c r="H162" s="87"/>
      <c r="I162" s="87"/>
      <c r="J162" s="88"/>
      <c r="K162" s="95" t="s">
        <v>75</v>
      </c>
      <c r="L162" s="90">
        <v>1</v>
      </c>
      <c r="M162" s="139">
        <v>58.5</v>
      </c>
      <c r="N162" s="140">
        <f>ROUND(M162*L162,2)</f>
        <v>58.5</v>
      </c>
    </row>
    <row r="163" spans="2:14" x14ac:dyDescent="0.25">
      <c r="B163" s="85" t="s">
        <v>96</v>
      </c>
      <c r="C163" s="138">
        <v>280007</v>
      </c>
      <c r="D163" s="103" t="s">
        <v>97</v>
      </c>
      <c r="E163" s="87"/>
      <c r="F163" s="87"/>
      <c r="G163" s="87"/>
      <c r="H163" s="87"/>
      <c r="I163" s="87"/>
      <c r="J163" s="88"/>
      <c r="K163" s="92" t="s">
        <v>17</v>
      </c>
      <c r="L163" s="93">
        <v>0.1</v>
      </c>
      <c r="M163" s="139">
        <v>17.350000000000001</v>
      </c>
      <c r="N163" s="140">
        <f>ROUND(M163*L163,2)</f>
        <v>1.74</v>
      </c>
    </row>
    <row r="164" spans="2:14" x14ac:dyDescent="0.25">
      <c r="B164" s="85" t="s">
        <v>96</v>
      </c>
      <c r="C164" s="138">
        <v>280014</v>
      </c>
      <c r="D164" s="103" t="s">
        <v>98</v>
      </c>
      <c r="E164" s="87"/>
      <c r="F164" s="87"/>
      <c r="G164" s="87"/>
      <c r="H164" s="87"/>
      <c r="I164" s="87"/>
      <c r="J164" s="88"/>
      <c r="K164" s="95" t="s">
        <v>17</v>
      </c>
      <c r="L164" s="93">
        <v>0.4</v>
      </c>
      <c r="M164" s="139">
        <v>21.5</v>
      </c>
      <c r="N164" s="140">
        <f>ROUND(M164*L164,2)</f>
        <v>8.6</v>
      </c>
    </row>
    <row r="165" spans="2:14" x14ac:dyDescent="0.25">
      <c r="B165" s="96"/>
      <c r="C165" s="97"/>
      <c r="D165" s="141" t="s">
        <v>34</v>
      </c>
      <c r="E165" s="142"/>
      <c r="F165" s="142"/>
      <c r="G165" s="142"/>
      <c r="H165" s="142"/>
      <c r="I165" s="142"/>
      <c r="J165" s="142"/>
      <c r="K165" s="112"/>
      <c r="L165" s="74"/>
      <c r="M165" s="75"/>
      <c r="N165" s="105">
        <f>ROUND(SUM(N162:N164),2)</f>
        <v>68.84</v>
      </c>
    </row>
    <row r="166" spans="2:14" x14ac:dyDescent="0.25">
      <c r="B166" s="25"/>
      <c r="C166" s="25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2:14" x14ac:dyDescent="0.25">
      <c r="B167" s="83" t="s">
        <v>20</v>
      </c>
      <c r="C167" s="74"/>
      <c r="D167" s="37" t="s">
        <v>3</v>
      </c>
      <c r="E167" s="38"/>
      <c r="F167" s="38"/>
      <c r="G167" s="38"/>
      <c r="H167" s="38"/>
      <c r="I167" s="38"/>
      <c r="J167" s="38"/>
      <c r="K167" s="38"/>
      <c r="L167" s="38"/>
      <c r="M167" s="38"/>
      <c r="N167" s="39"/>
    </row>
    <row r="168" spans="2:14" x14ac:dyDescent="0.25">
      <c r="B168" s="131" t="str">
        <f>[1]ORÇ!B152</f>
        <v>COMPOSIÇÃO 18</v>
      </c>
      <c r="C168" s="132"/>
      <c r="D168" s="133" t="s">
        <v>113</v>
      </c>
      <c r="E168" s="134"/>
      <c r="F168" s="134"/>
      <c r="G168" s="134"/>
      <c r="H168" s="134"/>
      <c r="I168" s="134"/>
      <c r="J168" s="134"/>
      <c r="K168" s="134"/>
      <c r="L168" s="135"/>
      <c r="M168" s="45" t="s">
        <v>5</v>
      </c>
      <c r="N168" s="136" t="s">
        <v>75</v>
      </c>
    </row>
    <row r="169" spans="2:14" x14ac:dyDescent="0.25">
      <c r="B169" s="47" t="s">
        <v>114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9"/>
    </row>
    <row r="170" spans="2:14" x14ac:dyDescent="0.25">
      <c r="B170" s="84" t="s">
        <v>8</v>
      </c>
      <c r="C170" s="52" t="s">
        <v>9</v>
      </c>
      <c r="D170" s="50"/>
      <c r="E170" s="50"/>
      <c r="F170" s="50"/>
      <c r="G170" s="50" t="s">
        <v>10</v>
      </c>
      <c r="H170" s="50"/>
      <c r="I170" s="50"/>
      <c r="J170" s="51"/>
      <c r="K170" s="52" t="s">
        <v>11</v>
      </c>
      <c r="L170" s="52" t="s">
        <v>12</v>
      </c>
      <c r="M170" s="45" t="s">
        <v>13</v>
      </c>
      <c r="N170" s="137" t="s">
        <v>14</v>
      </c>
    </row>
    <row r="171" spans="2:14" ht="25.5" x14ac:dyDescent="0.25">
      <c r="B171" s="85" t="s">
        <v>41</v>
      </c>
      <c r="C171" s="138"/>
      <c r="D171" s="103" t="s">
        <v>115</v>
      </c>
      <c r="E171" s="87"/>
      <c r="F171" s="87"/>
      <c r="G171" s="87"/>
      <c r="H171" s="87"/>
      <c r="I171" s="87"/>
      <c r="J171" s="88"/>
      <c r="K171" s="95" t="s">
        <v>75</v>
      </c>
      <c r="L171" s="90">
        <v>1</v>
      </c>
      <c r="M171" s="139">
        <v>38.71</v>
      </c>
      <c r="N171" s="140">
        <f>ROUND(M171*L171,2)</f>
        <v>38.71</v>
      </c>
    </row>
    <row r="172" spans="2:14" x14ac:dyDescent="0.25">
      <c r="B172" s="85" t="s">
        <v>96</v>
      </c>
      <c r="C172" s="138" t="s">
        <v>108</v>
      </c>
      <c r="D172" s="103" t="s">
        <v>97</v>
      </c>
      <c r="E172" s="87"/>
      <c r="F172" s="87"/>
      <c r="G172" s="87"/>
      <c r="H172" s="87"/>
      <c r="I172" s="87"/>
      <c r="J172" s="88"/>
      <c r="K172" s="92" t="s">
        <v>17</v>
      </c>
      <c r="L172" s="93">
        <v>0.1</v>
      </c>
      <c r="M172" s="139">
        <v>17.350000000000001</v>
      </c>
      <c r="N172" s="140">
        <f>ROUND(M172*L172,2)</f>
        <v>1.74</v>
      </c>
    </row>
    <row r="173" spans="2:14" x14ac:dyDescent="0.25">
      <c r="B173" s="85" t="s">
        <v>96</v>
      </c>
      <c r="C173" s="138" t="s">
        <v>109</v>
      </c>
      <c r="D173" s="103" t="s">
        <v>98</v>
      </c>
      <c r="E173" s="87"/>
      <c r="F173" s="87"/>
      <c r="G173" s="87"/>
      <c r="H173" s="87"/>
      <c r="I173" s="87"/>
      <c r="J173" s="88"/>
      <c r="K173" s="95" t="s">
        <v>17</v>
      </c>
      <c r="L173" s="93">
        <v>0.4</v>
      </c>
      <c r="M173" s="139">
        <v>21.5</v>
      </c>
      <c r="N173" s="140">
        <f>ROUND(M173*L173,2)</f>
        <v>8.6</v>
      </c>
    </row>
    <row r="174" spans="2:14" x14ac:dyDescent="0.25">
      <c r="B174" s="96"/>
      <c r="C174" s="97"/>
      <c r="D174" s="141" t="s">
        <v>34</v>
      </c>
      <c r="E174" s="142"/>
      <c r="F174" s="142"/>
      <c r="G174" s="142"/>
      <c r="H174" s="142"/>
      <c r="I174" s="142"/>
      <c r="J174" s="142"/>
      <c r="K174" s="112"/>
      <c r="L174" s="74"/>
      <c r="M174" s="75"/>
      <c r="N174" s="105">
        <f>ROUND(SUM(N171:N173),2)</f>
        <v>49.05</v>
      </c>
    </row>
    <row r="175" spans="2:14" x14ac:dyDescent="0.25">
      <c r="B175" s="25"/>
      <c r="C175" s="25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2:14" x14ac:dyDescent="0.25">
      <c r="B176" s="83" t="s">
        <v>20</v>
      </c>
      <c r="C176" s="74"/>
      <c r="D176" s="37" t="s">
        <v>3</v>
      </c>
      <c r="E176" s="38"/>
      <c r="F176" s="38"/>
      <c r="G176" s="38"/>
      <c r="H176" s="38"/>
      <c r="I176" s="38"/>
      <c r="J176" s="38"/>
      <c r="K176" s="38"/>
      <c r="L176" s="38"/>
      <c r="M176" s="38"/>
      <c r="N176" s="39"/>
    </row>
    <row r="177" spans="2:14" x14ac:dyDescent="0.25">
      <c r="B177" s="131" t="str">
        <f>[1]ORÇ!B153</f>
        <v>SINAPI</v>
      </c>
      <c r="C177" s="132"/>
      <c r="D177" s="133" t="s">
        <v>116</v>
      </c>
      <c r="E177" s="134"/>
      <c r="F177" s="134"/>
      <c r="G177" s="134"/>
      <c r="H177" s="134"/>
      <c r="I177" s="134"/>
      <c r="J177" s="134"/>
      <c r="K177" s="134"/>
      <c r="L177" s="135"/>
      <c r="M177" s="45" t="s">
        <v>5</v>
      </c>
      <c r="N177" s="136" t="s">
        <v>75</v>
      </c>
    </row>
    <row r="178" spans="2:14" x14ac:dyDescent="0.25">
      <c r="B178" s="47" t="s">
        <v>117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9"/>
    </row>
    <row r="179" spans="2:14" x14ac:dyDescent="0.25">
      <c r="B179" s="84" t="s">
        <v>8</v>
      </c>
      <c r="C179" s="52" t="s">
        <v>9</v>
      </c>
      <c r="D179" s="50"/>
      <c r="E179" s="50"/>
      <c r="F179" s="50"/>
      <c r="G179" s="50" t="s">
        <v>10</v>
      </c>
      <c r="H179" s="50"/>
      <c r="I179" s="50"/>
      <c r="J179" s="51"/>
      <c r="K179" s="52" t="s">
        <v>11</v>
      </c>
      <c r="L179" s="52" t="s">
        <v>12</v>
      </c>
      <c r="M179" s="45" t="s">
        <v>13</v>
      </c>
      <c r="N179" s="137" t="s">
        <v>14</v>
      </c>
    </row>
    <row r="180" spans="2:14" ht="25.5" x14ac:dyDescent="0.25">
      <c r="B180" s="85" t="s">
        <v>41</v>
      </c>
      <c r="C180" s="138"/>
      <c r="D180" s="103" t="s">
        <v>118</v>
      </c>
      <c r="E180" s="87"/>
      <c r="F180" s="87"/>
      <c r="G180" s="87"/>
      <c r="H180" s="87"/>
      <c r="I180" s="87"/>
      <c r="J180" s="88"/>
      <c r="K180" s="95" t="s">
        <v>75</v>
      </c>
      <c r="L180" s="90">
        <v>1</v>
      </c>
      <c r="M180" s="139">
        <v>16.96</v>
      </c>
      <c r="N180" s="140">
        <f>ROUND(M180*L180,2)</f>
        <v>16.96</v>
      </c>
    </row>
    <row r="181" spans="2:14" x14ac:dyDescent="0.25">
      <c r="B181" s="85" t="s">
        <v>96</v>
      </c>
      <c r="C181" s="138" t="s">
        <v>108</v>
      </c>
      <c r="D181" s="103" t="s">
        <v>97</v>
      </c>
      <c r="E181" s="87"/>
      <c r="F181" s="87"/>
      <c r="G181" s="87"/>
      <c r="H181" s="87"/>
      <c r="I181" s="87"/>
      <c r="J181" s="88"/>
      <c r="K181" s="92" t="s">
        <v>17</v>
      </c>
      <c r="L181" s="93">
        <v>0.1</v>
      </c>
      <c r="M181" s="139">
        <v>17.350000000000001</v>
      </c>
      <c r="N181" s="140">
        <f>ROUND(M181*L181,2)</f>
        <v>1.74</v>
      </c>
    </row>
    <row r="182" spans="2:14" x14ac:dyDescent="0.25">
      <c r="B182" s="85" t="s">
        <v>96</v>
      </c>
      <c r="C182" s="138" t="s">
        <v>109</v>
      </c>
      <c r="D182" s="103" t="s">
        <v>98</v>
      </c>
      <c r="E182" s="87"/>
      <c r="F182" s="87"/>
      <c r="G182" s="87"/>
      <c r="H182" s="87"/>
      <c r="I182" s="87"/>
      <c r="J182" s="88"/>
      <c r="K182" s="95" t="s">
        <v>17</v>
      </c>
      <c r="L182" s="93">
        <v>0.15</v>
      </c>
      <c r="M182" s="139">
        <v>21.5</v>
      </c>
      <c r="N182" s="140">
        <f>ROUND(M182*L182,2)</f>
        <v>3.23</v>
      </c>
    </row>
    <row r="183" spans="2:14" x14ac:dyDescent="0.25">
      <c r="B183" s="96"/>
      <c r="C183" s="97"/>
      <c r="D183" s="141" t="s">
        <v>34</v>
      </c>
      <c r="E183" s="142"/>
      <c r="F183" s="142"/>
      <c r="G183" s="142"/>
      <c r="H183" s="142"/>
      <c r="I183" s="142"/>
      <c r="J183" s="142"/>
      <c r="K183" s="112"/>
      <c r="L183" s="74"/>
      <c r="M183" s="75"/>
      <c r="N183" s="105">
        <f>ROUND(SUM(N180:N182),2)</f>
        <v>21.93</v>
      </c>
    </row>
    <row r="184" spans="2:14" x14ac:dyDescent="0.25">
      <c r="B184" s="25"/>
      <c r="C184" s="25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2:14" x14ac:dyDescent="0.25">
      <c r="B185" s="83" t="s">
        <v>20</v>
      </c>
      <c r="C185" s="74"/>
      <c r="D185" s="37" t="s">
        <v>3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9"/>
    </row>
    <row r="186" spans="2:14" x14ac:dyDescent="0.25">
      <c r="B186" s="131" t="str">
        <f>[1]ORÇ!B154</f>
        <v>SINAPI</v>
      </c>
      <c r="C186" s="132"/>
      <c r="D186" s="133" t="s">
        <v>119</v>
      </c>
      <c r="E186" s="134"/>
      <c r="F186" s="134"/>
      <c r="G186" s="134"/>
      <c r="H186" s="134"/>
      <c r="I186" s="134"/>
      <c r="J186" s="134"/>
      <c r="K186" s="134"/>
      <c r="L186" s="135"/>
      <c r="M186" s="45" t="s">
        <v>5</v>
      </c>
      <c r="N186" s="136" t="s">
        <v>75</v>
      </c>
    </row>
    <row r="187" spans="2:14" x14ac:dyDescent="0.25">
      <c r="B187" s="47" t="s">
        <v>120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9"/>
    </row>
    <row r="188" spans="2:14" x14ac:dyDescent="0.25">
      <c r="B188" s="84" t="s">
        <v>8</v>
      </c>
      <c r="C188" s="52" t="s">
        <v>9</v>
      </c>
      <c r="D188" s="50"/>
      <c r="E188" s="50"/>
      <c r="F188" s="50"/>
      <c r="G188" s="50" t="s">
        <v>10</v>
      </c>
      <c r="H188" s="50"/>
      <c r="I188" s="50"/>
      <c r="J188" s="51"/>
      <c r="K188" s="52" t="s">
        <v>11</v>
      </c>
      <c r="L188" s="52" t="s">
        <v>12</v>
      </c>
      <c r="M188" s="45" t="s">
        <v>13</v>
      </c>
      <c r="N188" s="137" t="s">
        <v>14</v>
      </c>
    </row>
    <row r="189" spans="2:14" ht="25.5" x14ac:dyDescent="0.25">
      <c r="B189" s="85" t="s">
        <v>41</v>
      </c>
      <c r="C189" s="138"/>
      <c r="D189" s="103" t="s">
        <v>121</v>
      </c>
      <c r="E189" s="87"/>
      <c r="F189" s="87"/>
      <c r="G189" s="87"/>
      <c r="H189" s="87"/>
      <c r="I189" s="87"/>
      <c r="J189" s="88"/>
      <c r="K189" s="136" t="s">
        <v>75</v>
      </c>
      <c r="L189" s="90">
        <v>1</v>
      </c>
      <c r="M189" s="139">
        <v>9.74</v>
      </c>
      <c r="N189" s="140">
        <f>ROUND(M189*L189,2)</f>
        <v>9.74</v>
      </c>
    </row>
    <row r="190" spans="2:14" x14ac:dyDescent="0.25">
      <c r="B190" s="85" t="s">
        <v>96</v>
      </c>
      <c r="C190" s="138" t="s">
        <v>108</v>
      </c>
      <c r="D190" s="103" t="s">
        <v>97</v>
      </c>
      <c r="E190" s="87"/>
      <c r="F190" s="87"/>
      <c r="G190" s="87"/>
      <c r="H190" s="87"/>
      <c r="I190" s="87"/>
      <c r="J190" s="88"/>
      <c r="K190" s="92" t="s">
        <v>17</v>
      </c>
      <c r="L190" s="93">
        <v>0.1</v>
      </c>
      <c r="M190" s="139">
        <v>17.350000000000001</v>
      </c>
      <c r="N190" s="140">
        <f>ROUND(M190*L190,2)</f>
        <v>1.74</v>
      </c>
    </row>
    <row r="191" spans="2:14" x14ac:dyDescent="0.25">
      <c r="B191" s="85" t="s">
        <v>96</v>
      </c>
      <c r="C191" s="138" t="s">
        <v>109</v>
      </c>
      <c r="D191" s="103" t="s">
        <v>98</v>
      </c>
      <c r="E191" s="87"/>
      <c r="F191" s="87"/>
      <c r="G191" s="87"/>
      <c r="H191" s="87"/>
      <c r="I191" s="87"/>
      <c r="J191" s="88"/>
      <c r="K191" s="95" t="s">
        <v>17</v>
      </c>
      <c r="L191" s="93">
        <v>0.15</v>
      </c>
      <c r="M191" s="139">
        <v>21.5</v>
      </c>
      <c r="N191" s="140">
        <f>ROUND(M191*L191,2)</f>
        <v>3.23</v>
      </c>
    </row>
    <row r="192" spans="2:14" x14ac:dyDescent="0.25">
      <c r="B192" s="96"/>
      <c r="C192" s="97"/>
      <c r="D192" s="141" t="s">
        <v>34</v>
      </c>
      <c r="E192" s="142"/>
      <c r="F192" s="142"/>
      <c r="G192" s="142"/>
      <c r="H192" s="142"/>
      <c r="I192" s="142"/>
      <c r="J192" s="142"/>
      <c r="K192" s="112"/>
      <c r="L192" s="74"/>
      <c r="M192" s="75"/>
      <c r="N192" s="105">
        <f>ROUND(SUM(N189:N191),2)</f>
        <v>14.71</v>
      </c>
    </row>
    <row r="193" spans="2:14" x14ac:dyDescent="0.25">
      <c r="B193" s="25"/>
      <c r="C193" s="25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2:14" x14ac:dyDescent="0.25">
      <c r="B194" s="83" t="s">
        <v>20</v>
      </c>
      <c r="C194" s="74"/>
      <c r="D194" s="37" t="s">
        <v>3</v>
      </c>
      <c r="E194" s="38"/>
      <c r="F194" s="38"/>
      <c r="G194" s="38"/>
      <c r="H194" s="38"/>
      <c r="I194" s="38"/>
      <c r="J194" s="38"/>
      <c r="K194" s="38"/>
      <c r="L194" s="38"/>
      <c r="M194" s="38"/>
      <c r="N194" s="39"/>
    </row>
    <row r="195" spans="2:14" x14ac:dyDescent="0.25">
      <c r="B195" s="131" t="str">
        <f>[1]ORÇ!B155</f>
        <v>SINAPI</v>
      </c>
      <c r="C195" s="132"/>
      <c r="D195" s="133" t="s">
        <v>122</v>
      </c>
      <c r="E195" s="134"/>
      <c r="F195" s="134"/>
      <c r="G195" s="134"/>
      <c r="H195" s="134"/>
      <c r="I195" s="134"/>
      <c r="J195" s="134"/>
      <c r="K195" s="134"/>
      <c r="L195" s="135"/>
      <c r="M195" s="45" t="s">
        <v>5</v>
      </c>
      <c r="N195" s="136" t="s">
        <v>75</v>
      </c>
    </row>
    <row r="196" spans="2:14" x14ac:dyDescent="0.25">
      <c r="B196" s="47" t="s">
        <v>123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9"/>
    </row>
    <row r="197" spans="2:14" x14ac:dyDescent="0.25">
      <c r="B197" s="84" t="s">
        <v>8</v>
      </c>
      <c r="C197" s="52" t="s">
        <v>9</v>
      </c>
      <c r="D197" s="50"/>
      <c r="E197" s="50"/>
      <c r="F197" s="50"/>
      <c r="G197" s="50" t="s">
        <v>10</v>
      </c>
      <c r="H197" s="50"/>
      <c r="I197" s="50"/>
      <c r="J197" s="51"/>
      <c r="K197" s="52" t="s">
        <v>11</v>
      </c>
      <c r="L197" s="52" t="s">
        <v>12</v>
      </c>
      <c r="M197" s="45" t="s">
        <v>13</v>
      </c>
      <c r="N197" s="137" t="s">
        <v>14</v>
      </c>
    </row>
    <row r="198" spans="2:14" ht="25.5" x14ac:dyDescent="0.25">
      <c r="B198" s="85" t="s">
        <v>41</v>
      </c>
      <c r="C198" s="138"/>
      <c r="D198" s="103" t="s">
        <v>124</v>
      </c>
      <c r="E198" s="87"/>
      <c r="F198" s="87"/>
      <c r="G198" s="87"/>
      <c r="H198" s="87"/>
      <c r="I198" s="87"/>
      <c r="J198" s="88"/>
      <c r="K198" s="136" t="s">
        <v>75</v>
      </c>
      <c r="L198" s="90">
        <v>1</v>
      </c>
      <c r="M198" s="139">
        <v>5.59</v>
      </c>
      <c r="N198" s="140">
        <f>ROUND(M198*L198,2)</f>
        <v>5.59</v>
      </c>
    </row>
    <row r="199" spans="2:14" x14ac:dyDescent="0.25">
      <c r="B199" s="85" t="s">
        <v>96</v>
      </c>
      <c r="C199" s="138" t="s">
        <v>108</v>
      </c>
      <c r="D199" s="103" t="s">
        <v>97</v>
      </c>
      <c r="E199" s="87"/>
      <c r="F199" s="87"/>
      <c r="G199" s="87"/>
      <c r="H199" s="87"/>
      <c r="I199" s="87"/>
      <c r="J199" s="88"/>
      <c r="K199" s="92" t="s">
        <v>17</v>
      </c>
      <c r="L199" s="93">
        <v>0.05</v>
      </c>
      <c r="M199" s="139">
        <v>17.350000000000001</v>
      </c>
      <c r="N199" s="140">
        <f>ROUND(M199*L199,2)</f>
        <v>0.87</v>
      </c>
    </row>
    <row r="200" spans="2:14" x14ac:dyDescent="0.25">
      <c r="B200" s="85" t="s">
        <v>96</v>
      </c>
      <c r="C200" s="138" t="s">
        <v>109</v>
      </c>
      <c r="D200" s="103" t="s">
        <v>98</v>
      </c>
      <c r="E200" s="87"/>
      <c r="F200" s="87"/>
      <c r="G200" s="87"/>
      <c r="H200" s="87"/>
      <c r="I200" s="87"/>
      <c r="J200" s="88"/>
      <c r="K200" s="95" t="s">
        <v>17</v>
      </c>
      <c r="L200" s="93">
        <v>0.1</v>
      </c>
      <c r="M200" s="139">
        <v>21.5</v>
      </c>
      <c r="N200" s="140">
        <f>ROUND(M200*L200,2)</f>
        <v>2.15</v>
      </c>
    </row>
    <row r="201" spans="2:14" x14ac:dyDescent="0.25">
      <c r="B201" s="96"/>
      <c r="C201" s="97"/>
      <c r="D201" s="141" t="s">
        <v>34</v>
      </c>
      <c r="E201" s="142"/>
      <c r="F201" s="142"/>
      <c r="G201" s="142"/>
      <c r="H201" s="142"/>
      <c r="I201" s="142"/>
      <c r="J201" s="142"/>
      <c r="K201" s="112"/>
      <c r="L201" s="74"/>
      <c r="M201" s="75"/>
      <c r="N201" s="105">
        <f>ROUND(SUM(N198:N200),2)</f>
        <v>8.61</v>
      </c>
    </row>
    <row r="202" spans="2:14" x14ac:dyDescent="0.25">
      <c r="B202" s="25"/>
      <c r="C202" s="25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2:14" x14ac:dyDescent="0.25">
      <c r="B203" s="83" t="s">
        <v>20</v>
      </c>
      <c r="C203" s="74"/>
      <c r="D203" s="37" t="s">
        <v>3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9"/>
    </row>
    <row r="204" spans="2:14" x14ac:dyDescent="0.25">
      <c r="B204" s="131" t="str">
        <f>[1]ORÇ!B169</f>
        <v>SINAPI</v>
      </c>
      <c r="C204" s="132"/>
      <c r="D204" s="133" t="s">
        <v>125</v>
      </c>
      <c r="E204" s="134"/>
      <c r="F204" s="134"/>
      <c r="G204" s="134"/>
      <c r="H204" s="134"/>
      <c r="I204" s="134"/>
      <c r="J204" s="134"/>
      <c r="K204" s="134"/>
      <c r="L204" s="135"/>
      <c r="M204" s="45" t="s">
        <v>5</v>
      </c>
      <c r="N204" s="136" t="s">
        <v>75</v>
      </c>
    </row>
    <row r="205" spans="2:14" x14ac:dyDescent="0.25">
      <c r="B205" s="47" t="s">
        <v>126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9"/>
    </row>
    <row r="206" spans="2:14" x14ac:dyDescent="0.25">
      <c r="B206" s="84" t="s">
        <v>8</v>
      </c>
      <c r="C206" s="52" t="s">
        <v>9</v>
      </c>
      <c r="D206" s="50"/>
      <c r="E206" s="50"/>
      <c r="F206" s="50"/>
      <c r="G206" s="50" t="s">
        <v>10</v>
      </c>
      <c r="H206" s="50"/>
      <c r="I206" s="50"/>
      <c r="J206" s="51"/>
      <c r="K206" s="52" t="s">
        <v>11</v>
      </c>
      <c r="L206" s="52" t="s">
        <v>12</v>
      </c>
      <c r="M206" s="45" t="s">
        <v>13</v>
      </c>
      <c r="N206" s="137" t="s">
        <v>14</v>
      </c>
    </row>
    <row r="207" spans="2:14" ht="25.5" x14ac:dyDescent="0.25">
      <c r="B207" s="85" t="s">
        <v>41</v>
      </c>
      <c r="C207" s="138"/>
      <c r="D207" s="103" t="s">
        <v>127</v>
      </c>
      <c r="E207" s="87"/>
      <c r="F207" s="87"/>
      <c r="G207" s="87"/>
      <c r="H207" s="87"/>
      <c r="I207" s="87"/>
      <c r="J207" s="88"/>
      <c r="K207" s="136" t="s">
        <v>75</v>
      </c>
      <c r="L207" s="90">
        <v>1</v>
      </c>
      <c r="M207" s="139">
        <v>2223.94</v>
      </c>
      <c r="N207" s="140">
        <f>ROUND(M207*L207,2)</f>
        <v>2223.94</v>
      </c>
    </row>
    <row r="208" spans="2:14" x14ac:dyDescent="0.25">
      <c r="B208" s="85" t="s">
        <v>96</v>
      </c>
      <c r="C208" s="138" t="s">
        <v>108</v>
      </c>
      <c r="D208" s="103" t="s">
        <v>97</v>
      </c>
      <c r="E208" s="87"/>
      <c r="F208" s="87"/>
      <c r="G208" s="87"/>
      <c r="H208" s="87"/>
      <c r="I208" s="87"/>
      <c r="J208" s="88"/>
      <c r="K208" s="92" t="s">
        <v>17</v>
      </c>
      <c r="L208" s="93">
        <v>0.8</v>
      </c>
      <c r="M208" s="139">
        <v>17.350000000000001</v>
      </c>
      <c r="N208" s="140">
        <f>ROUND(M208*L208,2)</f>
        <v>13.88</v>
      </c>
    </row>
    <row r="209" spans="2:14" x14ac:dyDescent="0.25">
      <c r="B209" s="85" t="s">
        <v>96</v>
      </c>
      <c r="C209" s="138" t="s">
        <v>109</v>
      </c>
      <c r="D209" s="103" t="s">
        <v>98</v>
      </c>
      <c r="E209" s="87"/>
      <c r="F209" s="87"/>
      <c r="G209" s="87"/>
      <c r="H209" s="87"/>
      <c r="I209" s="87"/>
      <c r="J209" s="88"/>
      <c r="K209" s="95" t="s">
        <v>17</v>
      </c>
      <c r="L209" s="93">
        <v>1.2</v>
      </c>
      <c r="M209" s="139">
        <v>21.5</v>
      </c>
      <c r="N209" s="140">
        <f>ROUND(M209*L209,2)</f>
        <v>25.8</v>
      </c>
    </row>
    <row r="210" spans="2:14" x14ac:dyDescent="0.25">
      <c r="B210" s="85" t="s">
        <v>96</v>
      </c>
      <c r="C210" s="138" t="s">
        <v>128</v>
      </c>
      <c r="D210" s="103" t="s">
        <v>129</v>
      </c>
      <c r="E210" s="87"/>
      <c r="F210" s="87"/>
      <c r="G210" s="87"/>
      <c r="H210" s="87"/>
      <c r="I210" s="87"/>
      <c r="J210" s="88"/>
      <c r="K210" s="92" t="s">
        <v>130</v>
      </c>
      <c r="L210" s="93">
        <v>0.05</v>
      </c>
      <c r="M210" s="139">
        <v>515.12</v>
      </c>
      <c r="N210" s="140">
        <f>ROUND(M210*L210,2)</f>
        <v>25.76</v>
      </c>
    </row>
    <row r="211" spans="2:14" x14ac:dyDescent="0.25">
      <c r="B211" s="96"/>
      <c r="C211" s="97"/>
      <c r="D211" s="141" t="s">
        <v>34</v>
      </c>
      <c r="E211" s="142"/>
      <c r="F211" s="142"/>
      <c r="G211" s="142"/>
      <c r="H211" s="142"/>
      <c r="I211" s="142"/>
      <c r="J211" s="142"/>
      <c r="K211" s="112"/>
      <c r="L211" s="74"/>
      <c r="M211" s="75"/>
      <c r="N211" s="105">
        <f>ROUND(SUM(N207:N210),2)</f>
        <v>2289.38</v>
      </c>
    </row>
    <row r="212" spans="2:14" x14ac:dyDescent="0.25">
      <c r="B212" s="25"/>
      <c r="C212" s="25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2:14" x14ac:dyDescent="0.25">
      <c r="B213" s="83" t="s">
        <v>20</v>
      </c>
      <c r="C213" s="74"/>
      <c r="D213" s="37" t="s">
        <v>3</v>
      </c>
      <c r="E213" s="38"/>
      <c r="F213" s="38"/>
      <c r="G213" s="38"/>
      <c r="H213" s="38"/>
      <c r="I213" s="38"/>
      <c r="J213" s="38"/>
      <c r="K213" s="38"/>
      <c r="L213" s="38"/>
      <c r="M213" s="38"/>
      <c r="N213" s="39"/>
    </row>
    <row r="214" spans="2:14" x14ac:dyDescent="0.25">
      <c r="B214" s="131" t="str">
        <f>[1]ORÇ!B170</f>
        <v>SINAPI</v>
      </c>
      <c r="C214" s="132"/>
      <c r="D214" s="133" t="s">
        <v>131</v>
      </c>
      <c r="E214" s="134"/>
      <c r="F214" s="134"/>
      <c r="G214" s="134"/>
      <c r="H214" s="134"/>
      <c r="I214" s="134"/>
      <c r="J214" s="134"/>
      <c r="K214" s="134"/>
      <c r="L214" s="135"/>
      <c r="M214" s="45" t="s">
        <v>5</v>
      </c>
      <c r="N214" s="136" t="s">
        <v>75</v>
      </c>
    </row>
    <row r="215" spans="2:14" x14ac:dyDescent="0.25">
      <c r="B215" s="47" t="s">
        <v>132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9"/>
    </row>
    <row r="216" spans="2:14" x14ac:dyDescent="0.25">
      <c r="B216" s="84" t="s">
        <v>8</v>
      </c>
      <c r="C216" s="52" t="s">
        <v>9</v>
      </c>
      <c r="D216" s="50"/>
      <c r="E216" s="50"/>
      <c r="F216" s="50"/>
      <c r="G216" s="50" t="s">
        <v>10</v>
      </c>
      <c r="H216" s="50"/>
      <c r="I216" s="50"/>
      <c r="J216" s="51"/>
      <c r="K216" s="52" t="s">
        <v>11</v>
      </c>
      <c r="L216" s="52" t="s">
        <v>12</v>
      </c>
      <c r="M216" s="45" t="s">
        <v>13</v>
      </c>
      <c r="N216" s="137" t="s">
        <v>14</v>
      </c>
    </row>
    <row r="217" spans="2:14" ht="25.5" x14ac:dyDescent="0.25">
      <c r="B217" s="85" t="s">
        <v>41</v>
      </c>
      <c r="C217" s="138"/>
      <c r="D217" s="103" t="s">
        <v>133</v>
      </c>
      <c r="E217" s="87"/>
      <c r="F217" s="87"/>
      <c r="G217" s="87"/>
      <c r="H217" s="87"/>
      <c r="I217" s="87"/>
      <c r="J217" s="88"/>
      <c r="K217" s="136" t="s">
        <v>75</v>
      </c>
      <c r="L217" s="90">
        <v>1</v>
      </c>
      <c r="M217" s="139">
        <v>680.08</v>
      </c>
      <c r="N217" s="140">
        <f>ROUND(M217*L217,2)</f>
        <v>680.08</v>
      </c>
    </row>
    <row r="218" spans="2:14" x14ac:dyDescent="0.25">
      <c r="B218" s="85" t="s">
        <v>96</v>
      </c>
      <c r="C218" s="138" t="s">
        <v>108</v>
      </c>
      <c r="D218" s="103" t="s">
        <v>97</v>
      </c>
      <c r="E218" s="87"/>
      <c r="F218" s="87"/>
      <c r="G218" s="87"/>
      <c r="H218" s="87"/>
      <c r="I218" s="87"/>
      <c r="J218" s="88"/>
      <c r="K218" s="92" t="s">
        <v>17</v>
      </c>
      <c r="L218" s="93">
        <v>0.1</v>
      </c>
      <c r="M218" s="139">
        <v>17.350000000000001</v>
      </c>
      <c r="N218" s="140">
        <f>ROUND(M218*L218,2)</f>
        <v>1.74</v>
      </c>
    </row>
    <row r="219" spans="2:14" x14ac:dyDescent="0.25">
      <c r="B219" s="85" t="s">
        <v>96</v>
      </c>
      <c r="C219" s="138" t="s">
        <v>109</v>
      </c>
      <c r="D219" s="103" t="s">
        <v>98</v>
      </c>
      <c r="E219" s="87"/>
      <c r="F219" s="87"/>
      <c r="G219" s="87"/>
      <c r="H219" s="87"/>
      <c r="I219" s="87"/>
      <c r="J219" s="88"/>
      <c r="K219" s="95" t="s">
        <v>17</v>
      </c>
      <c r="L219" s="93">
        <v>0.2</v>
      </c>
      <c r="M219" s="139">
        <v>21.5</v>
      </c>
      <c r="N219" s="140">
        <f>ROUND(M219*L219,2)</f>
        <v>4.3</v>
      </c>
    </row>
    <row r="220" spans="2:14" x14ac:dyDescent="0.25">
      <c r="B220" s="96"/>
      <c r="C220" s="97"/>
      <c r="D220" s="141" t="s">
        <v>34</v>
      </c>
      <c r="E220" s="142"/>
      <c r="F220" s="142"/>
      <c r="G220" s="142"/>
      <c r="H220" s="142"/>
      <c r="I220" s="142"/>
      <c r="J220" s="142"/>
      <c r="K220" s="112"/>
      <c r="L220" s="74"/>
      <c r="M220" s="75"/>
      <c r="N220" s="105">
        <f>ROUND(SUM(N217:N219),2)</f>
        <v>686.12</v>
      </c>
    </row>
    <row r="221" spans="2:14" x14ac:dyDescent="0.25">
      <c r="B221" s="25"/>
      <c r="C221" s="25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2:14" x14ac:dyDescent="0.25">
      <c r="B222" s="83" t="s">
        <v>20</v>
      </c>
      <c r="C222" s="74"/>
      <c r="D222" s="37" t="s">
        <v>3</v>
      </c>
      <c r="E222" s="38"/>
      <c r="F222" s="38"/>
      <c r="G222" s="38"/>
      <c r="H222" s="38"/>
      <c r="I222" s="38"/>
      <c r="J222" s="38"/>
      <c r="K222" s="38"/>
      <c r="L222" s="38"/>
      <c r="M222" s="38"/>
      <c r="N222" s="39"/>
    </row>
    <row r="223" spans="2:14" x14ac:dyDescent="0.25">
      <c r="B223" s="131" t="str">
        <f>[1]ORÇ!B171</f>
        <v>SEDOP</v>
      </c>
      <c r="C223" s="132"/>
      <c r="D223" s="133" t="s">
        <v>134</v>
      </c>
      <c r="E223" s="134"/>
      <c r="F223" s="134"/>
      <c r="G223" s="134"/>
      <c r="H223" s="134"/>
      <c r="I223" s="134"/>
      <c r="J223" s="134"/>
      <c r="K223" s="134"/>
      <c r="L223" s="135"/>
      <c r="M223" s="45" t="s">
        <v>5</v>
      </c>
      <c r="N223" s="136" t="s">
        <v>75</v>
      </c>
    </row>
    <row r="224" spans="2:14" x14ac:dyDescent="0.25">
      <c r="B224" s="47" t="s">
        <v>135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9"/>
    </row>
    <row r="225" spans="2:14" x14ac:dyDescent="0.25">
      <c r="B225" s="84" t="s">
        <v>8</v>
      </c>
      <c r="C225" s="52" t="s">
        <v>9</v>
      </c>
      <c r="D225" s="50"/>
      <c r="E225" s="50"/>
      <c r="F225" s="50"/>
      <c r="G225" s="50" t="s">
        <v>10</v>
      </c>
      <c r="H225" s="50"/>
      <c r="I225" s="50"/>
      <c r="J225" s="51"/>
      <c r="K225" s="52" t="s">
        <v>11</v>
      </c>
      <c r="L225" s="52" t="s">
        <v>12</v>
      </c>
      <c r="M225" s="45" t="s">
        <v>13</v>
      </c>
      <c r="N225" s="137" t="s">
        <v>14</v>
      </c>
    </row>
    <row r="226" spans="2:14" ht="25.5" x14ac:dyDescent="0.25">
      <c r="B226" s="85" t="s">
        <v>41</v>
      </c>
      <c r="C226" s="138"/>
      <c r="D226" s="103" t="s">
        <v>136</v>
      </c>
      <c r="E226" s="87"/>
      <c r="F226" s="87"/>
      <c r="G226" s="87"/>
      <c r="H226" s="87"/>
      <c r="I226" s="87"/>
      <c r="J226" s="88"/>
      <c r="K226" s="136" t="s">
        <v>75</v>
      </c>
      <c r="L226" s="90">
        <v>1</v>
      </c>
      <c r="M226" s="139">
        <v>175.96</v>
      </c>
      <c r="N226" s="140">
        <f>ROUND(M226*L226,2)</f>
        <v>175.96</v>
      </c>
    </row>
    <row r="227" spans="2:14" x14ac:dyDescent="0.25">
      <c r="B227" s="85" t="s">
        <v>96</v>
      </c>
      <c r="C227" s="138" t="s">
        <v>108</v>
      </c>
      <c r="D227" s="103" t="s">
        <v>97</v>
      </c>
      <c r="E227" s="87"/>
      <c r="F227" s="87"/>
      <c r="G227" s="87"/>
      <c r="H227" s="87"/>
      <c r="I227" s="87"/>
      <c r="J227" s="88"/>
      <c r="K227" s="92" t="s">
        <v>17</v>
      </c>
      <c r="L227" s="93">
        <v>0.6</v>
      </c>
      <c r="M227" s="139">
        <v>17.350000000000001</v>
      </c>
      <c r="N227" s="140">
        <f>ROUND(M227*L227,2)</f>
        <v>10.41</v>
      </c>
    </row>
    <row r="228" spans="2:14" x14ac:dyDescent="0.25">
      <c r="B228" s="85" t="s">
        <v>96</v>
      </c>
      <c r="C228" s="138" t="s">
        <v>109</v>
      </c>
      <c r="D228" s="103" t="s">
        <v>98</v>
      </c>
      <c r="E228" s="87"/>
      <c r="F228" s="87"/>
      <c r="G228" s="87"/>
      <c r="H228" s="87"/>
      <c r="I228" s="87"/>
      <c r="J228" s="88"/>
      <c r="K228" s="95" t="s">
        <v>17</v>
      </c>
      <c r="L228" s="93">
        <v>0.9</v>
      </c>
      <c r="M228" s="139">
        <v>21.5</v>
      </c>
      <c r="N228" s="140">
        <f>ROUND(M228*L228,2)</f>
        <v>19.350000000000001</v>
      </c>
    </row>
    <row r="229" spans="2:14" x14ac:dyDescent="0.25">
      <c r="B229" s="96"/>
      <c r="C229" s="97"/>
      <c r="D229" s="141" t="s">
        <v>34</v>
      </c>
      <c r="E229" s="142"/>
      <c r="F229" s="142"/>
      <c r="G229" s="142"/>
      <c r="H229" s="142"/>
      <c r="I229" s="142"/>
      <c r="J229" s="142"/>
      <c r="K229" s="112"/>
      <c r="L229" s="74"/>
      <c r="M229" s="75"/>
      <c r="N229" s="105">
        <f>ROUND(SUM(N226:N228),2)</f>
        <v>205.72</v>
      </c>
    </row>
    <row r="230" spans="2:14" x14ac:dyDescent="0.25">
      <c r="B230" s="25"/>
      <c r="C230" s="25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</row>
    <row r="231" spans="2:14" x14ac:dyDescent="0.25">
      <c r="B231" s="83" t="s">
        <v>20</v>
      </c>
      <c r="C231" s="74"/>
      <c r="D231" s="37" t="s">
        <v>3</v>
      </c>
      <c r="E231" s="38"/>
      <c r="F231" s="38"/>
      <c r="G231" s="38"/>
      <c r="H231" s="38"/>
      <c r="I231" s="38"/>
      <c r="J231" s="38"/>
      <c r="K231" s="38"/>
      <c r="L231" s="38"/>
      <c r="M231" s="38"/>
      <c r="N231" s="39"/>
    </row>
    <row r="232" spans="2:14" x14ac:dyDescent="0.25">
      <c r="B232" s="131" t="str">
        <f>[1]ORÇ!B204</f>
        <v>COMPOSIÇÃO 25</v>
      </c>
      <c r="C232" s="132"/>
      <c r="D232" s="133" t="s">
        <v>137</v>
      </c>
      <c r="E232" s="134"/>
      <c r="F232" s="134"/>
      <c r="G232" s="134"/>
      <c r="H232" s="134"/>
      <c r="I232" s="134"/>
      <c r="J232" s="134"/>
      <c r="K232" s="134"/>
      <c r="L232" s="135"/>
      <c r="M232" s="45" t="s">
        <v>5</v>
      </c>
      <c r="N232" s="136" t="s">
        <v>48</v>
      </c>
    </row>
    <row r="233" spans="2:14" x14ac:dyDescent="0.25">
      <c r="B233" s="47" t="s">
        <v>138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9"/>
    </row>
    <row r="234" spans="2:14" x14ac:dyDescent="0.25">
      <c r="B234" s="84" t="s">
        <v>8</v>
      </c>
      <c r="C234" s="52" t="s">
        <v>9</v>
      </c>
      <c r="D234" s="50"/>
      <c r="E234" s="50"/>
      <c r="F234" s="50"/>
      <c r="G234" s="50" t="s">
        <v>10</v>
      </c>
      <c r="H234" s="50"/>
      <c r="I234" s="50"/>
      <c r="J234" s="51"/>
      <c r="K234" s="52" t="s">
        <v>11</v>
      </c>
      <c r="L234" s="52" t="s">
        <v>12</v>
      </c>
      <c r="M234" s="45" t="s">
        <v>13</v>
      </c>
      <c r="N234" s="137" t="s">
        <v>14</v>
      </c>
    </row>
    <row r="235" spans="2:14" ht="25.5" x14ac:dyDescent="0.25">
      <c r="B235" s="85" t="s">
        <v>41</v>
      </c>
      <c r="C235" s="138"/>
      <c r="D235" s="103" t="s">
        <v>139</v>
      </c>
      <c r="E235" s="87"/>
      <c r="F235" s="87"/>
      <c r="G235" s="87"/>
      <c r="H235" s="87"/>
      <c r="I235" s="87"/>
      <c r="J235" s="88"/>
      <c r="K235" s="136" t="s">
        <v>75</v>
      </c>
      <c r="L235" s="90">
        <v>1</v>
      </c>
      <c r="M235" s="139">
        <v>16.899999999999999</v>
      </c>
      <c r="N235" s="140">
        <f>ROUND(M235*L235,2)</f>
        <v>16.899999999999999</v>
      </c>
    </row>
    <row r="236" spans="2:14" x14ac:dyDescent="0.25">
      <c r="B236" s="85" t="s">
        <v>96</v>
      </c>
      <c r="C236" s="138" t="s">
        <v>108</v>
      </c>
      <c r="D236" s="103" t="s">
        <v>97</v>
      </c>
      <c r="E236" s="87"/>
      <c r="F236" s="87"/>
      <c r="G236" s="87"/>
      <c r="H236" s="87"/>
      <c r="I236" s="87"/>
      <c r="J236" s="88"/>
      <c r="K236" s="92" t="s">
        <v>17</v>
      </c>
      <c r="L236" s="93">
        <v>0.3</v>
      </c>
      <c r="M236" s="139">
        <v>17.350000000000001</v>
      </c>
      <c r="N236" s="140">
        <f>ROUND(M236*L236,2)</f>
        <v>5.21</v>
      </c>
    </row>
    <row r="237" spans="2:14" x14ac:dyDescent="0.25">
      <c r="B237" s="85" t="s">
        <v>96</v>
      </c>
      <c r="C237" s="138" t="s">
        <v>109</v>
      </c>
      <c r="D237" s="103" t="s">
        <v>98</v>
      </c>
      <c r="E237" s="87"/>
      <c r="F237" s="87"/>
      <c r="G237" s="87"/>
      <c r="H237" s="87"/>
      <c r="I237" s="87"/>
      <c r="J237" s="88"/>
      <c r="K237" s="95" t="s">
        <v>17</v>
      </c>
      <c r="L237" s="93">
        <v>0.7</v>
      </c>
      <c r="M237" s="139">
        <v>21.5</v>
      </c>
      <c r="N237" s="140">
        <f>ROUND(M237*L237,2)</f>
        <v>15.05</v>
      </c>
    </row>
    <row r="238" spans="2:14" x14ac:dyDescent="0.25">
      <c r="B238" s="96"/>
      <c r="C238" s="97"/>
      <c r="D238" s="141" t="s">
        <v>34</v>
      </c>
      <c r="E238" s="142"/>
      <c r="F238" s="142"/>
      <c r="G238" s="142"/>
      <c r="H238" s="142"/>
      <c r="I238" s="142"/>
      <c r="J238" s="142"/>
      <c r="K238" s="112"/>
      <c r="L238" s="74"/>
      <c r="M238" s="75"/>
      <c r="N238" s="105">
        <f>ROUND(SUM(N235:N237),2)</f>
        <v>37.159999999999997</v>
      </c>
    </row>
    <row r="239" spans="2:14" x14ac:dyDescent="0.25">
      <c r="B239" s="25"/>
      <c r="C239" s="25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</row>
    <row r="240" spans="2:14" x14ac:dyDescent="0.25">
      <c r="B240" s="83" t="s">
        <v>20</v>
      </c>
      <c r="C240" s="74"/>
      <c r="D240" s="37" t="s">
        <v>3</v>
      </c>
      <c r="E240" s="38"/>
      <c r="F240" s="38"/>
      <c r="G240" s="38"/>
      <c r="H240" s="38"/>
      <c r="I240" s="38"/>
      <c r="J240" s="38"/>
      <c r="K240" s="38"/>
      <c r="L240" s="38"/>
      <c r="M240" s="38"/>
      <c r="N240" s="39"/>
    </row>
    <row r="241" spans="2:14" x14ac:dyDescent="0.25">
      <c r="B241" s="131" t="str">
        <f>[1]ORÇ!B205</f>
        <v>COMPOSIÇÃO 26</v>
      </c>
      <c r="C241" s="132"/>
      <c r="D241" s="133" t="s">
        <v>140</v>
      </c>
      <c r="E241" s="134"/>
      <c r="F241" s="134"/>
      <c r="G241" s="134"/>
      <c r="H241" s="134"/>
      <c r="I241" s="134"/>
      <c r="J241" s="134"/>
      <c r="K241" s="134"/>
      <c r="L241" s="135"/>
      <c r="M241" s="45" t="s">
        <v>5</v>
      </c>
      <c r="N241" s="136" t="s">
        <v>75</v>
      </c>
    </row>
    <row r="242" spans="2:14" x14ac:dyDescent="0.25">
      <c r="B242" s="47" t="s">
        <v>141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9"/>
    </row>
    <row r="243" spans="2:14" x14ac:dyDescent="0.25">
      <c r="B243" s="84" t="s">
        <v>8</v>
      </c>
      <c r="C243" s="52" t="s">
        <v>9</v>
      </c>
      <c r="D243" s="50"/>
      <c r="E243" s="50"/>
      <c r="F243" s="50"/>
      <c r="G243" s="50" t="s">
        <v>10</v>
      </c>
      <c r="H243" s="50"/>
      <c r="I243" s="50"/>
      <c r="J243" s="51"/>
      <c r="K243" s="52" t="s">
        <v>11</v>
      </c>
      <c r="L243" s="52" t="s">
        <v>12</v>
      </c>
      <c r="M243" s="45" t="s">
        <v>13</v>
      </c>
      <c r="N243" s="137" t="s">
        <v>14</v>
      </c>
    </row>
    <row r="244" spans="2:14" ht="25.5" x14ac:dyDescent="0.25">
      <c r="B244" s="85" t="s">
        <v>41</v>
      </c>
      <c r="C244" s="138"/>
      <c r="D244" s="103" t="s">
        <v>142</v>
      </c>
      <c r="E244" s="87"/>
      <c r="F244" s="87"/>
      <c r="G244" s="87"/>
      <c r="H244" s="87"/>
      <c r="I244" s="87"/>
      <c r="J244" s="88"/>
      <c r="K244" s="136" t="s">
        <v>75</v>
      </c>
      <c r="L244" s="90">
        <v>1</v>
      </c>
      <c r="M244" s="139">
        <v>22.99</v>
      </c>
      <c r="N244" s="140">
        <f>ROUND(M244*L244,2)</f>
        <v>22.99</v>
      </c>
    </row>
    <row r="245" spans="2:14" x14ac:dyDescent="0.25">
      <c r="B245" s="85" t="s">
        <v>96</v>
      </c>
      <c r="C245" s="138" t="s">
        <v>108</v>
      </c>
      <c r="D245" s="103" t="s">
        <v>97</v>
      </c>
      <c r="E245" s="87"/>
      <c r="F245" s="87"/>
      <c r="G245" s="87"/>
      <c r="H245" s="87"/>
      <c r="I245" s="87"/>
      <c r="J245" s="88"/>
      <c r="K245" s="92" t="s">
        <v>17</v>
      </c>
      <c r="L245" s="93">
        <v>0.1</v>
      </c>
      <c r="M245" s="139">
        <v>17.350000000000001</v>
      </c>
      <c r="N245" s="140">
        <f>ROUND(M245*L245,2)</f>
        <v>1.74</v>
      </c>
    </row>
    <row r="246" spans="2:14" x14ac:dyDescent="0.25">
      <c r="B246" s="85" t="s">
        <v>96</v>
      </c>
      <c r="C246" s="138" t="s">
        <v>109</v>
      </c>
      <c r="D246" s="103" t="s">
        <v>98</v>
      </c>
      <c r="E246" s="87"/>
      <c r="F246" s="87"/>
      <c r="G246" s="87"/>
      <c r="H246" s="87"/>
      <c r="I246" s="87"/>
      <c r="J246" s="88"/>
      <c r="K246" s="95" t="s">
        <v>17</v>
      </c>
      <c r="L246" s="93">
        <v>0.15</v>
      </c>
      <c r="M246" s="139">
        <v>21.5</v>
      </c>
      <c r="N246" s="140">
        <f>ROUND(M246*L246,2)</f>
        <v>3.23</v>
      </c>
    </row>
    <row r="247" spans="2:14" x14ac:dyDescent="0.25">
      <c r="B247" s="96"/>
      <c r="C247" s="97"/>
      <c r="D247" s="141" t="s">
        <v>34</v>
      </c>
      <c r="E247" s="142"/>
      <c r="F247" s="142"/>
      <c r="G247" s="142"/>
      <c r="H247" s="142"/>
      <c r="I247" s="142"/>
      <c r="J247" s="142"/>
      <c r="K247" s="112"/>
      <c r="L247" s="74"/>
      <c r="M247" s="75"/>
      <c r="N247" s="105">
        <f>ROUND(SUM(N244:N246),2)</f>
        <v>27.96</v>
      </c>
    </row>
    <row r="248" spans="2:14" x14ac:dyDescent="0.25">
      <c r="B248" s="25"/>
      <c r="C248" s="25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</row>
    <row r="249" spans="2:14" x14ac:dyDescent="0.25">
      <c r="B249" s="83" t="s">
        <v>20</v>
      </c>
      <c r="C249" s="74"/>
      <c r="D249" s="37" t="s">
        <v>3</v>
      </c>
      <c r="E249" s="38"/>
      <c r="F249" s="38"/>
      <c r="G249" s="38"/>
      <c r="H249" s="38"/>
      <c r="I249" s="38"/>
      <c r="J249" s="38"/>
      <c r="K249" s="38"/>
      <c r="L249" s="38"/>
      <c r="M249" s="38"/>
      <c r="N249" s="39"/>
    </row>
    <row r="250" spans="2:14" x14ac:dyDescent="0.25">
      <c r="B250" s="131" t="str">
        <f>[1]ORÇ!B206</f>
        <v>SINAPI</v>
      </c>
      <c r="C250" s="132"/>
      <c r="D250" s="133" t="s">
        <v>143</v>
      </c>
      <c r="E250" s="134"/>
      <c r="F250" s="134"/>
      <c r="G250" s="134"/>
      <c r="H250" s="134"/>
      <c r="I250" s="134"/>
      <c r="J250" s="134"/>
      <c r="K250" s="134"/>
      <c r="L250" s="135"/>
      <c r="M250" s="45" t="s">
        <v>5</v>
      </c>
      <c r="N250" s="136" t="s">
        <v>75</v>
      </c>
    </row>
    <row r="251" spans="2:14" x14ac:dyDescent="0.25">
      <c r="B251" s="47" t="s">
        <v>144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9"/>
    </row>
    <row r="252" spans="2:14" x14ac:dyDescent="0.25">
      <c r="B252" s="84" t="s">
        <v>8</v>
      </c>
      <c r="C252" s="52" t="s">
        <v>9</v>
      </c>
      <c r="D252" s="50"/>
      <c r="E252" s="50"/>
      <c r="F252" s="50"/>
      <c r="G252" s="50" t="s">
        <v>10</v>
      </c>
      <c r="H252" s="50"/>
      <c r="I252" s="50"/>
      <c r="J252" s="51"/>
      <c r="K252" s="52" t="s">
        <v>11</v>
      </c>
      <c r="L252" s="52" t="s">
        <v>12</v>
      </c>
      <c r="M252" s="45" t="s">
        <v>13</v>
      </c>
      <c r="N252" s="137" t="s">
        <v>14</v>
      </c>
    </row>
    <row r="253" spans="2:14" ht="25.5" x14ac:dyDescent="0.25">
      <c r="B253" s="85" t="s">
        <v>41</v>
      </c>
      <c r="C253" s="138"/>
      <c r="D253" s="103" t="s">
        <v>145</v>
      </c>
      <c r="E253" s="87"/>
      <c r="F253" s="87"/>
      <c r="G253" s="87"/>
      <c r="H253" s="87"/>
      <c r="I253" s="87"/>
      <c r="J253" s="88"/>
      <c r="K253" s="136" t="s">
        <v>75</v>
      </c>
      <c r="L253" s="90">
        <v>1</v>
      </c>
      <c r="M253" s="139">
        <v>6.36</v>
      </c>
      <c r="N253" s="140">
        <f>ROUND(M253*L253,2)</f>
        <v>6.36</v>
      </c>
    </row>
    <row r="254" spans="2:14" x14ac:dyDescent="0.25">
      <c r="B254" s="85" t="s">
        <v>96</v>
      </c>
      <c r="C254" s="138" t="s">
        <v>108</v>
      </c>
      <c r="D254" s="103" t="s">
        <v>97</v>
      </c>
      <c r="E254" s="87"/>
      <c r="F254" s="87"/>
      <c r="G254" s="87"/>
      <c r="H254" s="87"/>
      <c r="I254" s="87"/>
      <c r="J254" s="88"/>
      <c r="K254" s="92" t="s">
        <v>17</v>
      </c>
      <c r="L254" s="93">
        <v>0.05</v>
      </c>
      <c r="M254" s="139">
        <v>17.350000000000001</v>
      </c>
      <c r="N254" s="140">
        <f>ROUND(M254*L254,2)</f>
        <v>0.87</v>
      </c>
    </row>
    <row r="255" spans="2:14" x14ac:dyDescent="0.25">
      <c r="B255" s="85" t="s">
        <v>96</v>
      </c>
      <c r="C255" s="138" t="s">
        <v>109</v>
      </c>
      <c r="D255" s="103" t="s">
        <v>98</v>
      </c>
      <c r="E255" s="87"/>
      <c r="F255" s="87"/>
      <c r="G255" s="87"/>
      <c r="H255" s="87"/>
      <c r="I255" s="87"/>
      <c r="J255" s="88"/>
      <c r="K255" s="95" t="s">
        <v>17</v>
      </c>
      <c r="L255" s="93">
        <v>0.1</v>
      </c>
      <c r="M255" s="139">
        <v>21.5</v>
      </c>
      <c r="N255" s="140">
        <f>ROUND(M255*L255,2)</f>
        <v>2.15</v>
      </c>
    </row>
    <row r="256" spans="2:14" x14ac:dyDescent="0.25">
      <c r="B256" s="96"/>
      <c r="C256" s="97"/>
      <c r="D256" s="141" t="s">
        <v>34</v>
      </c>
      <c r="E256" s="142"/>
      <c r="F256" s="142"/>
      <c r="G256" s="142"/>
      <c r="H256" s="142"/>
      <c r="I256" s="142"/>
      <c r="J256" s="142"/>
      <c r="K256" s="112"/>
      <c r="L256" s="74"/>
      <c r="M256" s="75"/>
      <c r="N256" s="105">
        <f>ROUND(SUM(N253:N255),2)</f>
        <v>9.3800000000000008</v>
      </c>
    </row>
    <row r="257" spans="2:14" x14ac:dyDescent="0.25">
      <c r="B257" s="25"/>
      <c r="C257" s="25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</row>
    <row r="258" spans="2:14" x14ac:dyDescent="0.25">
      <c r="B258" s="83" t="s">
        <v>20</v>
      </c>
      <c r="C258" s="74"/>
      <c r="D258" s="37" t="s">
        <v>3</v>
      </c>
      <c r="E258" s="38"/>
      <c r="F258" s="38"/>
      <c r="G258" s="38"/>
      <c r="H258" s="38"/>
      <c r="I258" s="38"/>
      <c r="J258" s="38"/>
      <c r="K258" s="38"/>
      <c r="L258" s="38"/>
      <c r="M258" s="38"/>
      <c r="N258" s="39"/>
    </row>
    <row r="259" spans="2:14" x14ac:dyDescent="0.25">
      <c r="B259" s="131" t="str">
        <f>[1]ORÇ!B207</f>
        <v>SINAPI</v>
      </c>
      <c r="C259" s="132"/>
      <c r="D259" s="133" t="s">
        <v>146</v>
      </c>
      <c r="E259" s="134"/>
      <c r="F259" s="134"/>
      <c r="G259" s="134"/>
      <c r="H259" s="134"/>
      <c r="I259" s="134"/>
      <c r="J259" s="134"/>
      <c r="K259" s="134"/>
      <c r="L259" s="135"/>
      <c r="M259" s="45" t="s">
        <v>5</v>
      </c>
      <c r="N259" s="136" t="s">
        <v>75</v>
      </c>
    </row>
    <row r="260" spans="2:14" x14ac:dyDescent="0.25">
      <c r="B260" s="47" t="s">
        <v>147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9"/>
    </row>
    <row r="261" spans="2:14" x14ac:dyDescent="0.25">
      <c r="B261" s="84" t="s">
        <v>8</v>
      </c>
      <c r="C261" s="52" t="s">
        <v>9</v>
      </c>
      <c r="D261" s="50"/>
      <c r="E261" s="50"/>
      <c r="F261" s="50"/>
      <c r="G261" s="50" t="s">
        <v>10</v>
      </c>
      <c r="H261" s="50"/>
      <c r="I261" s="50"/>
      <c r="J261" s="51"/>
      <c r="K261" s="52" t="s">
        <v>11</v>
      </c>
      <c r="L261" s="52" t="s">
        <v>12</v>
      </c>
      <c r="M261" s="45" t="s">
        <v>13</v>
      </c>
      <c r="N261" s="137" t="s">
        <v>14</v>
      </c>
    </row>
    <row r="262" spans="2:14" ht="25.5" x14ac:dyDescent="0.25">
      <c r="B262" s="85" t="s">
        <v>41</v>
      </c>
      <c r="C262" s="138"/>
      <c r="D262" s="103" t="s">
        <v>148</v>
      </c>
      <c r="E262" s="87"/>
      <c r="F262" s="87"/>
      <c r="G262" s="87"/>
      <c r="H262" s="87"/>
      <c r="I262" s="87"/>
      <c r="J262" s="88"/>
      <c r="K262" s="136" t="s">
        <v>75</v>
      </c>
      <c r="L262" s="90">
        <v>1</v>
      </c>
      <c r="M262" s="139">
        <v>28.61</v>
      </c>
      <c r="N262" s="140">
        <f>ROUND(M262*L262,2)</f>
        <v>28.61</v>
      </c>
    </row>
    <row r="263" spans="2:14" x14ac:dyDescent="0.25">
      <c r="B263" s="85" t="s">
        <v>96</v>
      </c>
      <c r="C263" s="138" t="s">
        <v>108</v>
      </c>
      <c r="D263" s="103" t="s">
        <v>97</v>
      </c>
      <c r="E263" s="87"/>
      <c r="F263" s="87"/>
      <c r="G263" s="87"/>
      <c r="H263" s="87"/>
      <c r="I263" s="87"/>
      <c r="J263" s="88"/>
      <c r="K263" s="92" t="s">
        <v>17</v>
      </c>
      <c r="L263" s="93">
        <v>0.05</v>
      </c>
      <c r="M263" s="139">
        <v>17.350000000000001</v>
      </c>
      <c r="N263" s="140">
        <f>ROUND(M263*L263,2)</f>
        <v>0.87</v>
      </c>
    </row>
    <row r="264" spans="2:14" x14ac:dyDescent="0.25">
      <c r="B264" s="85" t="s">
        <v>96</v>
      </c>
      <c r="C264" s="138" t="s">
        <v>109</v>
      </c>
      <c r="D264" s="103" t="s">
        <v>98</v>
      </c>
      <c r="E264" s="87"/>
      <c r="F264" s="87"/>
      <c r="G264" s="87"/>
      <c r="H264" s="87"/>
      <c r="I264" s="87"/>
      <c r="J264" s="88"/>
      <c r="K264" s="95" t="s">
        <v>17</v>
      </c>
      <c r="L264" s="93">
        <v>0.1</v>
      </c>
      <c r="M264" s="139">
        <v>21.5</v>
      </c>
      <c r="N264" s="140">
        <f>ROUND(M264*L264,2)</f>
        <v>2.15</v>
      </c>
    </row>
    <row r="265" spans="2:14" x14ac:dyDescent="0.25">
      <c r="B265" s="96"/>
      <c r="C265" s="97"/>
      <c r="D265" s="141" t="s">
        <v>34</v>
      </c>
      <c r="E265" s="142"/>
      <c r="F265" s="142"/>
      <c r="G265" s="142"/>
      <c r="H265" s="142"/>
      <c r="I265" s="142"/>
      <c r="J265" s="142"/>
      <c r="K265" s="112"/>
      <c r="L265" s="74"/>
      <c r="M265" s="75"/>
      <c r="N265" s="105">
        <f>ROUND(SUM(N262:N264),2)</f>
        <v>31.63</v>
      </c>
    </row>
    <row r="266" spans="2:14" x14ac:dyDescent="0.25">
      <c r="B266" s="25"/>
      <c r="C266" s="25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</row>
    <row r="267" spans="2:14" x14ac:dyDescent="0.25">
      <c r="B267" s="83" t="s">
        <v>20</v>
      </c>
      <c r="C267" s="74"/>
      <c r="D267" s="37" t="s">
        <v>3</v>
      </c>
      <c r="E267" s="38"/>
      <c r="F267" s="38"/>
      <c r="G267" s="38"/>
      <c r="H267" s="38"/>
      <c r="I267" s="38"/>
      <c r="J267" s="38"/>
      <c r="K267" s="38"/>
      <c r="L267" s="38"/>
      <c r="M267" s="38"/>
      <c r="N267" s="39"/>
    </row>
    <row r="268" spans="2:14" x14ac:dyDescent="0.25">
      <c r="B268" s="131" t="str">
        <f>[1]ORÇ!B208</f>
        <v>SINAPI</v>
      </c>
      <c r="C268" s="132"/>
      <c r="D268" s="133" t="s">
        <v>149</v>
      </c>
      <c r="E268" s="134"/>
      <c r="F268" s="134"/>
      <c r="G268" s="134"/>
      <c r="H268" s="134"/>
      <c r="I268" s="134"/>
      <c r="J268" s="134"/>
      <c r="K268" s="134"/>
      <c r="L268" s="135"/>
      <c r="M268" s="45" t="s">
        <v>5</v>
      </c>
      <c r="N268" s="136" t="s">
        <v>75</v>
      </c>
    </row>
    <row r="269" spans="2:14" x14ac:dyDescent="0.25">
      <c r="B269" s="47" t="s">
        <v>150</v>
      </c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9"/>
    </row>
    <row r="270" spans="2:14" x14ac:dyDescent="0.25">
      <c r="B270" s="84" t="s">
        <v>8</v>
      </c>
      <c r="C270" s="52" t="s">
        <v>9</v>
      </c>
      <c r="D270" s="50"/>
      <c r="E270" s="50"/>
      <c r="F270" s="50"/>
      <c r="G270" s="50" t="s">
        <v>10</v>
      </c>
      <c r="H270" s="50"/>
      <c r="I270" s="50"/>
      <c r="J270" s="51"/>
      <c r="K270" s="52" t="s">
        <v>11</v>
      </c>
      <c r="L270" s="52" t="s">
        <v>12</v>
      </c>
      <c r="M270" s="45" t="s">
        <v>13</v>
      </c>
      <c r="N270" s="137" t="s">
        <v>14</v>
      </c>
    </row>
    <row r="271" spans="2:14" ht="25.5" x14ac:dyDescent="0.25">
      <c r="B271" s="85" t="s">
        <v>41</v>
      </c>
      <c r="C271" s="138"/>
      <c r="D271" s="103" t="s">
        <v>151</v>
      </c>
      <c r="E271" s="87"/>
      <c r="F271" s="87"/>
      <c r="G271" s="87"/>
      <c r="H271" s="87"/>
      <c r="I271" s="87"/>
      <c r="J271" s="88"/>
      <c r="K271" s="136" t="s">
        <v>75</v>
      </c>
      <c r="L271" s="90">
        <v>1</v>
      </c>
      <c r="M271" s="139">
        <v>27</v>
      </c>
      <c r="N271" s="140">
        <f>ROUND(M271*L271,2)</f>
        <v>27</v>
      </c>
    </row>
    <row r="272" spans="2:14" x14ac:dyDescent="0.25">
      <c r="B272" s="85" t="s">
        <v>96</v>
      </c>
      <c r="C272" s="138" t="s">
        <v>108</v>
      </c>
      <c r="D272" s="103" t="s">
        <v>97</v>
      </c>
      <c r="E272" s="87"/>
      <c r="F272" s="87"/>
      <c r="G272" s="87"/>
      <c r="H272" s="87"/>
      <c r="I272" s="87"/>
      <c r="J272" s="88"/>
      <c r="K272" s="92" t="s">
        <v>17</v>
      </c>
      <c r="L272" s="93">
        <v>0.05</v>
      </c>
      <c r="M272" s="139">
        <v>17.350000000000001</v>
      </c>
      <c r="N272" s="140">
        <f>ROUND(M272*L272,2)</f>
        <v>0.87</v>
      </c>
    </row>
    <row r="273" spans="2:14" x14ac:dyDescent="0.25">
      <c r="B273" s="85" t="s">
        <v>96</v>
      </c>
      <c r="C273" s="138" t="s">
        <v>109</v>
      </c>
      <c r="D273" s="103" t="s">
        <v>98</v>
      </c>
      <c r="E273" s="87"/>
      <c r="F273" s="87"/>
      <c r="G273" s="87"/>
      <c r="H273" s="87"/>
      <c r="I273" s="87"/>
      <c r="J273" s="88"/>
      <c r="K273" s="95" t="s">
        <v>17</v>
      </c>
      <c r="L273" s="93">
        <v>0.1</v>
      </c>
      <c r="M273" s="139">
        <v>21.5</v>
      </c>
      <c r="N273" s="140">
        <f>ROUND(M273*L273,2)</f>
        <v>2.15</v>
      </c>
    </row>
    <row r="274" spans="2:14" x14ac:dyDescent="0.25">
      <c r="B274" s="96"/>
      <c r="C274" s="97"/>
      <c r="D274" s="141" t="s">
        <v>34</v>
      </c>
      <c r="E274" s="142"/>
      <c r="F274" s="142"/>
      <c r="G274" s="142"/>
      <c r="H274" s="142"/>
      <c r="I274" s="142"/>
      <c r="J274" s="142"/>
      <c r="K274" s="112"/>
      <c r="L274" s="74"/>
      <c r="M274" s="75"/>
      <c r="N274" s="105">
        <f>ROUND(SUM(N271:N273),2)</f>
        <v>30.02</v>
      </c>
    </row>
    <row r="275" spans="2:14" x14ac:dyDescent="0.25">
      <c r="B275" s="25"/>
      <c r="C275" s="25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</row>
    <row r="276" spans="2:14" x14ac:dyDescent="0.25">
      <c r="B276" s="83" t="s">
        <v>20</v>
      </c>
      <c r="C276" s="74"/>
      <c r="D276" s="37" t="s">
        <v>3</v>
      </c>
      <c r="E276" s="38"/>
      <c r="F276" s="38"/>
      <c r="G276" s="38"/>
      <c r="H276" s="38"/>
      <c r="I276" s="38"/>
      <c r="J276" s="38"/>
      <c r="K276" s="38"/>
      <c r="L276" s="38"/>
      <c r="M276" s="38"/>
      <c r="N276" s="39"/>
    </row>
    <row r="277" spans="2:14" x14ac:dyDescent="0.25">
      <c r="B277" s="131" t="str">
        <f>[1]ORÇ!B213</f>
        <v>SINAPI</v>
      </c>
      <c r="C277" s="132"/>
      <c r="D277" s="133" t="s">
        <v>152</v>
      </c>
      <c r="E277" s="134"/>
      <c r="F277" s="134"/>
      <c r="G277" s="134"/>
      <c r="H277" s="134"/>
      <c r="I277" s="134"/>
      <c r="J277" s="134"/>
      <c r="K277" s="134"/>
      <c r="L277" s="135"/>
      <c r="M277" s="45" t="s">
        <v>5</v>
      </c>
      <c r="N277" s="136" t="s">
        <v>75</v>
      </c>
    </row>
    <row r="278" spans="2:14" x14ac:dyDescent="0.25">
      <c r="B278" s="47" t="s">
        <v>153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9"/>
    </row>
    <row r="279" spans="2:14" x14ac:dyDescent="0.25">
      <c r="B279" s="84" t="s">
        <v>8</v>
      </c>
      <c r="C279" s="52" t="s">
        <v>9</v>
      </c>
      <c r="D279" s="50"/>
      <c r="E279" s="50"/>
      <c r="F279" s="50"/>
      <c r="G279" s="50" t="s">
        <v>10</v>
      </c>
      <c r="H279" s="50"/>
      <c r="I279" s="50"/>
      <c r="J279" s="51"/>
      <c r="K279" s="52" t="s">
        <v>11</v>
      </c>
      <c r="L279" s="52" t="s">
        <v>12</v>
      </c>
      <c r="M279" s="45" t="s">
        <v>13</v>
      </c>
      <c r="N279" s="137" t="s">
        <v>14</v>
      </c>
    </row>
    <row r="280" spans="2:14" ht="25.5" x14ac:dyDescent="0.25">
      <c r="B280" s="85" t="s">
        <v>41</v>
      </c>
      <c r="C280" s="138"/>
      <c r="D280" s="103" t="s">
        <v>154</v>
      </c>
      <c r="E280" s="87"/>
      <c r="F280" s="87"/>
      <c r="G280" s="87"/>
      <c r="H280" s="87"/>
      <c r="I280" s="87"/>
      <c r="J280" s="88"/>
      <c r="K280" s="136" t="s">
        <v>75</v>
      </c>
      <c r="L280" s="90">
        <v>1</v>
      </c>
      <c r="M280" s="139">
        <v>4.05</v>
      </c>
      <c r="N280" s="140">
        <f>ROUND(M280*L280,2)</f>
        <v>4.05</v>
      </c>
    </row>
    <row r="281" spans="2:14" x14ac:dyDescent="0.25">
      <c r="B281" s="85" t="s">
        <v>96</v>
      </c>
      <c r="C281" s="138" t="s">
        <v>108</v>
      </c>
      <c r="D281" s="103" t="s">
        <v>97</v>
      </c>
      <c r="E281" s="87"/>
      <c r="F281" s="87"/>
      <c r="G281" s="87"/>
      <c r="H281" s="87"/>
      <c r="I281" s="87"/>
      <c r="J281" s="88"/>
      <c r="K281" s="92" t="s">
        <v>17</v>
      </c>
      <c r="L281" s="93">
        <v>0.05</v>
      </c>
      <c r="M281" s="139">
        <v>17.350000000000001</v>
      </c>
      <c r="N281" s="140">
        <f>ROUND(M281*L281,2)</f>
        <v>0.87</v>
      </c>
    </row>
    <row r="282" spans="2:14" x14ac:dyDescent="0.25">
      <c r="B282" s="85" t="s">
        <v>96</v>
      </c>
      <c r="C282" s="138" t="s">
        <v>109</v>
      </c>
      <c r="D282" s="103" t="s">
        <v>98</v>
      </c>
      <c r="E282" s="87"/>
      <c r="F282" s="87"/>
      <c r="G282" s="87"/>
      <c r="H282" s="87"/>
      <c r="I282" s="87"/>
      <c r="J282" s="88"/>
      <c r="K282" s="95" t="s">
        <v>17</v>
      </c>
      <c r="L282" s="93">
        <v>0.1</v>
      </c>
      <c r="M282" s="139">
        <v>21.5</v>
      </c>
      <c r="N282" s="140">
        <f>ROUND(M282*L282,2)</f>
        <v>2.15</v>
      </c>
    </row>
    <row r="283" spans="2:14" x14ac:dyDescent="0.25">
      <c r="B283" s="96"/>
      <c r="C283" s="97"/>
      <c r="D283" s="141" t="s">
        <v>34</v>
      </c>
      <c r="E283" s="142"/>
      <c r="F283" s="142"/>
      <c r="G283" s="142"/>
      <c r="H283" s="142"/>
      <c r="I283" s="142"/>
      <c r="J283" s="142"/>
      <c r="K283" s="112"/>
      <c r="L283" s="74"/>
      <c r="M283" s="75"/>
      <c r="N283" s="105">
        <f>ROUND(SUM(N280:N282),2)</f>
        <v>7.07</v>
      </c>
    </row>
    <row r="284" spans="2:14" x14ac:dyDescent="0.25">
      <c r="B284" s="25"/>
      <c r="C284" s="25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  <row r="285" spans="2:14" x14ac:dyDescent="0.25">
      <c r="B285" s="83" t="s">
        <v>20</v>
      </c>
      <c r="C285" s="74"/>
      <c r="D285" s="37" t="s">
        <v>3</v>
      </c>
      <c r="E285" s="38"/>
      <c r="F285" s="38"/>
      <c r="G285" s="38"/>
      <c r="H285" s="38"/>
      <c r="I285" s="38"/>
      <c r="J285" s="38"/>
      <c r="K285" s="38"/>
      <c r="L285" s="38"/>
      <c r="M285" s="38"/>
      <c r="N285" s="39"/>
    </row>
    <row r="286" spans="2:14" x14ac:dyDescent="0.25">
      <c r="B286" s="131" t="str">
        <f>[1]ORÇ!B218</f>
        <v>COMPOSIÇÃO 31</v>
      </c>
      <c r="C286" s="132"/>
      <c r="D286" s="133" t="s">
        <v>155</v>
      </c>
      <c r="E286" s="134"/>
      <c r="F286" s="134"/>
      <c r="G286" s="134"/>
      <c r="H286" s="134"/>
      <c r="I286" s="134"/>
      <c r="J286" s="134"/>
      <c r="K286" s="134"/>
      <c r="L286" s="135"/>
      <c r="M286" s="45" t="s">
        <v>5</v>
      </c>
      <c r="N286" s="136" t="s">
        <v>48</v>
      </c>
    </row>
    <row r="287" spans="2:14" x14ac:dyDescent="0.25">
      <c r="B287" s="47" t="s">
        <v>156</v>
      </c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9"/>
    </row>
    <row r="288" spans="2:14" x14ac:dyDescent="0.25">
      <c r="B288" s="84" t="s">
        <v>8</v>
      </c>
      <c r="C288" s="52" t="s">
        <v>9</v>
      </c>
      <c r="D288" s="50"/>
      <c r="E288" s="50"/>
      <c r="F288" s="50"/>
      <c r="G288" s="50" t="s">
        <v>10</v>
      </c>
      <c r="H288" s="50"/>
      <c r="I288" s="50"/>
      <c r="J288" s="51"/>
      <c r="K288" s="52" t="s">
        <v>11</v>
      </c>
      <c r="L288" s="52" t="s">
        <v>12</v>
      </c>
      <c r="M288" s="45" t="s">
        <v>13</v>
      </c>
      <c r="N288" s="137" t="s">
        <v>14</v>
      </c>
    </row>
    <row r="289" spans="2:14" ht="25.5" x14ac:dyDescent="0.25">
      <c r="B289" s="85" t="s">
        <v>41</v>
      </c>
      <c r="C289" s="138"/>
      <c r="D289" s="103" t="s">
        <v>157</v>
      </c>
      <c r="E289" s="87"/>
      <c r="F289" s="87"/>
      <c r="G289" s="87"/>
      <c r="H289" s="87"/>
      <c r="I289" s="87"/>
      <c r="J289" s="88"/>
      <c r="K289" s="136" t="s">
        <v>48</v>
      </c>
      <c r="L289" s="90">
        <v>1</v>
      </c>
      <c r="M289" s="139">
        <v>19.78</v>
      </c>
      <c r="N289" s="140">
        <f>ROUND(M289*L289,2)</f>
        <v>19.78</v>
      </c>
    </row>
    <row r="290" spans="2:14" x14ac:dyDescent="0.25">
      <c r="B290" s="85" t="s">
        <v>96</v>
      </c>
      <c r="C290" s="138" t="s">
        <v>108</v>
      </c>
      <c r="D290" s="103" t="s">
        <v>97</v>
      </c>
      <c r="E290" s="87"/>
      <c r="F290" s="87"/>
      <c r="G290" s="87"/>
      <c r="H290" s="87"/>
      <c r="I290" s="87"/>
      <c r="J290" s="88"/>
      <c r="K290" s="92" t="s">
        <v>17</v>
      </c>
      <c r="L290" s="93">
        <v>0.6</v>
      </c>
      <c r="M290" s="139">
        <v>17.350000000000001</v>
      </c>
      <c r="N290" s="140">
        <f>ROUND(M290*L290,2)</f>
        <v>10.41</v>
      </c>
    </row>
    <row r="291" spans="2:14" x14ac:dyDescent="0.25">
      <c r="B291" s="85" t="s">
        <v>96</v>
      </c>
      <c r="C291" s="138" t="s">
        <v>109</v>
      </c>
      <c r="D291" s="103" t="s">
        <v>98</v>
      </c>
      <c r="E291" s="87"/>
      <c r="F291" s="87"/>
      <c r="G291" s="87"/>
      <c r="H291" s="87"/>
      <c r="I291" s="87"/>
      <c r="J291" s="88"/>
      <c r="K291" s="95" t="s">
        <v>17</v>
      </c>
      <c r="L291" s="93">
        <v>1.2</v>
      </c>
      <c r="M291" s="139">
        <v>21.5</v>
      </c>
      <c r="N291" s="140">
        <f>ROUND(M291*L291,2)</f>
        <v>25.8</v>
      </c>
    </row>
    <row r="292" spans="2:14" x14ac:dyDescent="0.25">
      <c r="B292" s="96"/>
      <c r="C292" s="97"/>
      <c r="D292" s="141" t="s">
        <v>34</v>
      </c>
      <c r="E292" s="142"/>
      <c r="F292" s="142"/>
      <c r="G292" s="142"/>
      <c r="H292" s="142"/>
      <c r="I292" s="142"/>
      <c r="J292" s="142"/>
      <c r="K292" s="112"/>
      <c r="L292" s="74"/>
      <c r="M292" s="75"/>
      <c r="N292" s="105">
        <f>ROUND(SUM(N289:N291),2)</f>
        <v>55.99</v>
      </c>
    </row>
    <row r="293" spans="2:14" x14ac:dyDescent="0.25">
      <c r="B293" s="25"/>
      <c r="C293" s="25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</row>
    <row r="294" spans="2:14" x14ac:dyDescent="0.25">
      <c r="B294" s="83" t="s">
        <v>20</v>
      </c>
      <c r="C294" s="74"/>
      <c r="D294" s="37" t="s">
        <v>3</v>
      </c>
      <c r="E294" s="38"/>
      <c r="F294" s="38"/>
      <c r="G294" s="38"/>
      <c r="H294" s="38"/>
      <c r="I294" s="38"/>
      <c r="J294" s="38"/>
      <c r="K294" s="38"/>
      <c r="L294" s="38"/>
      <c r="M294" s="38"/>
      <c r="N294" s="39"/>
    </row>
    <row r="295" spans="2:14" x14ac:dyDescent="0.25">
      <c r="B295" s="131" t="str">
        <f>[1]ORÇ!B219</f>
        <v>COMPOSIÇÃO 32</v>
      </c>
      <c r="C295" s="132"/>
      <c r="D295" s="133" t="s">
        <v>158</v>
      </c>
      <c r="E295" s="134"/>
      <c r="F295" s="134"/>
      <c r="G295" s="134"/>
      <c r="H295" s="134"/>
      <c r="I295" s="134"/>
      <c r="J295" s="134"/>
      <c r="K295" s="134"/>
      <c r="L295" s="135"/>
      <c r="M295" s="45" t="s">
        <v>5</v>
      </c>
      <c r="N295" s="136" t="s">
        <v>48</v>
      </c>
    </row>
    <row r="296" spans="2:14" x14ac:dyDescent="0.25">
      <c r="B296" s="47" t="s">
        <v>159</v>
      </c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9"/>
    </row>
    <row r="297" spans="2:14" x14ac:dyDescent="0.25">
      <c r="B297" s="84" t="s">
        <v>8</v>
      </c>
      <c r="C297" s="52" t="s">
        <v>9</v>
      </c>
      <c r="D297" s="50"/>
      <c r="E297" s="50"/>
      <c r="F297" s="50"/>
      <c r="G297" s="50" t="s">
        <v>10</v>
      </c>
      <c r="H297" s="50"/>
      <c r="I297" s="50"/>
      <c r="J297" s="51"/>
      <c r="K297" s="52" t="s">
        <v>11</v>
      </c>
      <c r="L297" s="52" t="s">
        <v>12</v>
      </c>
      <c r="M297" s="45" t="s">
        <v>13</v>
      </c>
      <c r="N297" s="137" t="s">
        <v>14</v>
      </c>
    </row>
    <row r="298" spans="2:14" ht="25.5" x14ac:dyDescent="0.25">
      <c r="B298" s="85" t="s">
        <v>41</v>
      </c>
      <c r="C298" s="138"/>
      <c r="D298" s="103" t="s">
        <v>160</v>
      </c>
      <c r="E298" s="87"/>
      <c r="F298" s="87"/>
      <c r="G298" s="87"/>
      <c r="H298" s="87"/>
      <c r="I298" s="87"/>
      <c r="J298" s="88"/>
      <c r="K298" s="95" t="s">
        <v>48</v>
      </c>
      <c r="L298" s="90">
        <v>1</v>
      </c>
      <c r="M298" s="139">
        <v>12.13</v>
      </c>
      <c r="N298" s="140">
        <f>ROUND(M298*L298,2)</f>
        <v>12.13</v>
      </c>
    </row>
    <row r="299" spans="2:14" x14ac:dyDescent="0.25">
      <c r="B299" s="85" t="s">
        <v>96</v>
      </c>
      <c r="C299" s="138" t="s">
        <v>108</v>
      </c>
      <c r="D299" s="103" t="s">
        <v>97</v>
      </c>
      <c r="E299" s="87"/>
      <c r="F299" s="87"/>
      <c r="G299" s="87"/>
      <c r="H299" s="87"/>
      <c r="I299" s="87"/>
      <c r="J299" s="88"/>
      <c r="K299" s="92" t="s">
        <v>17</v>
      </c>
      <c r="L299" s="93">
        <v>0.1</v>
      </c>
      <c r="M299" s="139">
        <v>17.350000000000001</v>
      </c>
      <c r="N299" s="140">
        <f>ROUND(M299*L299,2)</f>
        <v>1.74</v>
      </c>
    </row>
    <row r="300" spans="2:14" x14ac:dyDescent="0.25">
      <c r="B300" s="85" t="s">
        <v>96</v>
      </c>
      <c r="C300" s="138" t="s">
        <v>109</v>
      </c>
      <c r="D300" s="103" t="s">
        <v>98</v>
      </c>
      <c r="E300" s="87"/>
      <c r="F300" s="87"/>
      <c r="G300" s="87"/>
      <c r="H300" s="87"/>
      <c r="I300" s="87"/>
      <c r="J300" s="88"/>
      <c r="K300" s="95" t="s">
        <v>17</v>
      </c>
      <c r="L300" s="93">
        <v>0.2</v>
      </c>
      <c r="M300" s="139">
        <v>21.5</v>
      </c>
      <c r="N300" s="140">
        <f>ROUND(M300*L300,2)</f>
        <v>4.3</v>
      </c>
    </row>
    <row r="301" spans="2:14" x14ac:dyDescent="0.25">
      <c r="B301" s="96"/>
      <c r="C301" s="97"/>
      <c r="D301" s="141" t="s">
        <v>34</v>
      </c>
      <c r="E301" s="142"/>
      <c r="F301" s="142"/>
      <c r="G301" s="142"/>
      <c r="H301" s="142"/>
      <c r="I301" s="142"/>
      <c r="J301" s="142"/>
      <c r="K301" s="112"/>
      <c r="L301" s="74"/>
      <c r="M301" s="75"/>
      <c r="N301" s="105">
        <f>ROUND(SUM(N298:N300),2)</f>
        <v>18.170000000000002</v>
      </c>
    </row>
    <row r="302" spans="2:14" x14ac:dyDescent="0.25">
      <c r="B302" s="25"/>
      <c r="C302" s="25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</row>
    <row r="303" spans="2:14" x14ac:dyDescent="0.25">
      <c r="B303" s="83" t="s">
        <v>20</v>
      </c>
      <c r="C303" s="74"/>
      <c r="D303" s="37" t="s">
        <v>3</v>
      </c>
      <c r="E303" s="38"/>
      <c r="F303" s="38"/>
      <c r="G303" s="38"/>
      <c r="H303" s="38"/>
      <c r="I303" s="38"/>
      <c r="J303" s="38"/>
      <c r="K303" s="38"/>
      <c r="L303" s="38"/>
      <c r="M303" s="38"/>
      <c r="N303" s="39"/>
    </row>
    <row r="304" spans="2:14" x14ac:dyDescent="0.25">
      <c r="B304" s="131" t="str">
        <f>[1]ORÇ!B220</f>
        <v>COMPOSIÇÃO 33</v>
      </c>
      <c r="C304" s="132"/>
      <c r="D304" s="133" t="s">
        <v>161</v>
      </c>
      <c r="E304" s="134"/>
      <c r="F304" s="134"/>
      <c r="G304" s="134"/>
      <c r="H304" s="134"/>
      <c r="I304" s="134"/>
      <c r="J304" s="134"/>
      <c r="K304" s="134"/>
      <c r="L304" s="135"/>
      <c r="M304" s="45" t="s">
        <v>5</v>
      </c>
      <c r="N304" s="136" t="s">
        <v>75</v>
      </c>
    </row>
    <row r="305" spans="2:14" x14ac:dyDescent="0.25">
      <c r="B305" s="47" t="s">
        <v>162</v>
      </c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9"/>
    </row>
    <row r="306" spans="2:14" x14ac:dyDescent="0.25">
      <c r="B306" s="84" t="s">
        <v>8</v>
      </c>
      <c r="C306" s="52" t="s">
        <v>9</v>
      </c>
      <c r="D306" s="50"/>
      <c r="E306" s="50"/>
      <c r="F306" s="50"/>
      <c r="G306" s="50" t="s">
        <v>10</v>
      </c>
      <c r="H306" s="50"/>
      <c r="I306" s="50"/>
      <c r="J306" s="51"/>
      <c r="K306" s="52" t="s">
        <v>11</v>
      </c>
      <c r="L306" s="52" t="s">
        <v>12</v>
      </c>
      <c r="M306" s="45" t="s">
        <v>13</v>
      </c>
      <c r="N306" s="137" t="s">
        <v>14</v>
      </c>
    </row>
    <row r="307" spans="2:14" ht="25.5" x14ac:dyDescent="0.25">
      <c r="B307" s="85" t="s">
        <v>41</v>
      </c>
      <c r="C307" s="138"/>
      <c r="D307" s="103" t="s">
        <v>163</v>
      </c>
      <c r="E307" s="87"/>
      <c r="F307" s="87"/>
      <c r="G307" s="87"/>
      <c r="H307" s="87"/>
      <c r="I307" s="87"/>
      <c r="J307" s="88"/>
      <c r="K307" s="95" t="s">
        <v>75</v>
      </c>
      <c r="L307" s="90">
        <v>1</v>
      </c>
      <c r="M307" s="139">
        <v>9.6300000000000008</v>
      </c>
      <c r="N307" s="140">
        <f>ROUND(M307*L307,2)</f>
        <v>9.6300000000000008</v>
      </c>
    </row>
    <row r="308" spans="2:14" x14ac:dyDescent="0.25">
      <c r="B308" s="85" t="s">
        <v>96</v>
      </c>
      <c r="C308" s="138" t="s">
        <v>108</v>
      </c>
      <c r="D308" s="103" t="s">
        <v>97</v>
      </c>
      <c r="E308" s="87"/>
      <c r="F308" s="87"/>
      <c r="G308" s="87"/>
      <c r="H308" s="87"/>
      <c r="I308" s="87"/>
      <c r="J308" s="88"/>
      <c r="K308" s="92" t="s">
        <v>17</v>
      </c>
      <c r="L308" s="93">
        <v>0.05</v>
      </c>
      <c r="M308" s="139">
        <v>17.350000000000001</v>
      </c>
      <c r="N308" s="140">
        <f>ROUND(M308*L308,2)</f>
        <v>0.87</v>
      </c>
    </row>
    <row r="309" spans="2:14" x14ac:dyDescent="0.25">
      <c r="B309" s="85" t="s">
        <v>96</v>
      </c>
      <c r="C309" s="138" t="s">
        <v>109</v>
      </c>
      <c r="D309" s="103" t="s">
        <v>98</v>
      </c>
      <c r="E309" s="87"/>
      <c r="F309" s="87"/>
      <c r="G309" s="87"/>
      <c r="H309" s="87"/>
      <c r="I309" s="87"/>
      <c r="J309" s="88"/>
      <c r="K309" s="95" t="s">
        <v>17</v>
      </c>
      <c r="L309" s="93">
        <v>0.1</v>
      </c>
      <c r="M309" s="139">
        <v>21.5</v>
      </c>
      <c r="N309" s="140">
        <f>ROUND(M309*L309,2)</f>
        <v>2.15</v>
      </c>
    </row>
    <row r="310" spans="2:14" x14ac:dyDescent="0.25">
      <c r="B310" s="96"/>
      <c r="C310" s="97"/>
      <c r="D310" s="141" t="s">
        <v>34</v>
      </c>
      <c r="E310" s="142"/>
      <c r="F310" s="142"/>
      <c r="G310" s="142"/>
      <c r="H310" s="142"/>
      <c r="I310" s="142"/>
      <c r="J310" s="142"/>
      <c r="K310" s="112"/>
      <c r="L310" s="74"/>
      <c r="M310" s="75"/>
      <c r="N310" s="105">
        <f>ROUND(SUM(N307:N309),2)</f>
        <v>12.65</v>
      </c>
    </row>
    <row r="311" spans="2:14" x14ac:dyDescent="0.25">
      <c r="B311" s="25"/>
      <c r="C311" s="25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</row>
    <row r="312" spans="2:14" x14ac:dyDescent="0.25">
      <c r="B312" s="83" t="s">
        <v>20</v>
      </c>
      <c r="C312" s="74"/>
      <c r="D312" s="37" t="s">
        <v>3</v>
      </c>
      <c r="E312" s="38"/>
      <c r="F312" s="38"/>
      <c r="G312" s="38"/>
      <c r="H312" s="38"/>
      <c r="I312" s="38"/>
      <c r="J312" s="38"/>
      <c r="K312" s="38"/>
      <c r="L312" s="38"/>
      <c r="M312" s="38"/>
      <c r="N312" s="39"/>
    </row>
    <row r="313" spans="2:14" x14ac:dyDescent="0.25">
      <c r="B313" s="131" t="str">
        <f>[1]ORÇ!B221</f>
        <v>SEDOP</v>
      </c>
      <c r="C313" s="132"/>
      <c r="D313" s="133" t="s">
        <v>164</v>
      </c>
      <c r="E313" s="134"/>
      <c r="F313" s="134"/>
      <c r="G313" s="134"/>
      <c r="H313" s="134"/>
      <c r="I313" s="134"/>
      <c r="J313" s="134"/>
      <c r="K313" s="134"/>
      <c r="L313" s="135"/>
      <c r="M313" s="45" t="s">
        <v>5</v>
      </c>
      <c r="N313" s="136" t="s">
        <v>75</v>
      </c>
    </row>
    <row r="314" spans="2:14" x14ac:dyDescent="0.25">
      <c r="B314" s="47" t="s">
        <v>165</v>
      </c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9"/>
    </row>
    <row r="315" spans="2:14" x14ac:dyDescent="0.25">
      <c r="B315" s="84" t="s">
        <v>8</v>
      </c>
      <c r="C315" s="52" t="s">
        <v>9</v>
      </c>
      <c r="D315" s="50"/>
      <c r="E315" s="50"/>
      <c r="F315" s="50"/>
      <c r="G315" s="50" t="s">
        <v>10</v>
      </c>
      <c r="H315" s="50"/>
      <c r="I315" s="50"/>
      <c r="J315" s="51"/>
      <c r="K315" s="52" t="s">
        <v>11</v>
      </c>
      <c r="L315" s="52" t="s">
        <v>12</v>
      </c>
      <c r="M315" s="45" t="s">
        <v>13</v>
      </c>
      <c r="N315" s="137" t="s">
        <v>14</v>
      </c>
    </row>
    <row r="316" spans="2:14" ht="25.5" x14ac:dyDescent="0.25">
      <c r="B316" s="85" t="s">
        <v>41</v>
      </c>
      <c r="C316" s="138"/>
      <c r="D316" s="103" t="s">
        <v>166</v>
      </c>
      <c r="E316" s="87"/>
      <c r="F316" s="87"/>
      <c r="G316" s="87"/>
      <c r="H316" s="87"/>
      <c r="I316" s="87"/>
      <c r="J316" s="88"/>
      <c r="K316" s="136" t="s">
        <v>75</v>
      </c>
      <c r="L316" s="90">
        <v>1</v>
      </c>
      <c r="M316" s="139">
        <v>54.31</v>
      </c>
      <c r="N316" s="140">
        <f>ROUND(M316*L316,2)</f>
        <v>54.31</v>
      </c>
    </row>
    <row r="317" spans="2:14" x14ac:dyDescent="0.25">
      <c r="B317" s="85" t="s">
        <v>96</v>
      </c>
      <c r="C317" s="138" t="s">
        <v>108</v>
      </c>
      <c r="D317" s="103" t="s">
        <v>97</v>
      </c>
      <c r="E317" s="87"/>
      <c r="F317" s="87"/>
      <c r="G317" s="87"/>
      <c r="H317" s="87"/>
      <c r="I317" s="87"/>
      <c r="J317" s="88"/>
      <c r="K317" s="92" t="s">
        <v>17</v>
      </c>
      <c r="L317" s="93">
        <v>0.15</v>
      </c>
      <c r="M317" s="139">
        <v>17.350000000000001</v>
      </c>
      <c r="N317" s="140">
        <f>ROUND(M317*L317,2)</f>
        <v>2.6</v>
      </c>
    </row>
    <row r="318" spans="2:14" x14ac:dyDescent="0.25">
      <c r="B318" s="85" t="s">
        <v>96</v>
      </c>
      <c r="C318" s="138" t="s">
        <v>109</v>
      </c>
      <c r="D318" s="103" t="s">
        <v>98</v>
      </c>
      <c r="E318" s="87"/>
      <c r="F318" s="87"/>
      <c r="G318" s="87"/>
      <c r="H318" s="87"/>
      <c r="I318" s="87"/>
      <c r="J318" s="88"/>
      <c r="K318" s="95" t="s">
        <v>17</v>
      </c>
      <c r="L318" s="93">
        <v>0.2</v>
      </c>
      <c r="M318" s="139">
        <v>21.5</v>
      </c>
      <c r="N318" s="140">
        <f>ROUND(M318*L318,2)</f>
        <v>4.3</v>
      </c>
    </row>
    <row r="319" spans="2:14" x14ac:dyDescent="0.25">
      <c r="B319" s="96"/>
      <c r="C319" s="97"/>
      <c r="D319" s="141" t="s">
        <v>34</v>
      </c>
      <c r="E319" s="142"/>
      <c r="F319" s="142"/>
      <c r="G319" s="142"/>
      <c r="H319" s="142"/>
      <c r="I319" s="142"/>
      <c r="J319" s="142"/>
      <c r="K319" s="112"/>
      <c r="L319" s="74"/>
      <c r="M319" s="75"/>
      <c r="N319" s="105">
        <f>ROUND(SUM(N316:N318),2)</f>
        <v>61.21</v>
      </c>
    </row>
    <row r="320" spans="2:14" x14ac:dyDescent="0.25">
      <c r="B320" s="25"/>
      <c r="C320" s="25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</row>
    <row r="321" spans="2:14" x14ac:dyDescent="0.25">
      <c r="B321" s="83" t="s">
        <v>20</v>
      </c>
      <c r="C321" s="74"/>
      <c r="D321" s="37" t="s">
        <v>3</v>
      </c>
      <c r="E321" s="38"/>
      <c r="F321" s="38"/>
      <c r="G321" s="38"/>
      <c r="H321" s="38"/>
      <c r="I321" s="38"/>
      <c r="J321" s="38"/>
      <c r="K321" s="38"/>
      <c r="L321" s="38"/>
      <c r="M321" s="38"/>
      <c r="N321" s="39"/>
    </row>
    <row r="322" spans="2:14" x14ac:dyDescent="0.25">
      <c r="B322" s="131" t="str">
        <f>[1]ORÇ!B222</f>
        <v>SEDOP</v>
      </c>
      <c r="C322" s="132"/>
      <c r="D322" s="133" t="s">
        <v>167</v>
      </c>
      <c r="E322" s="134"/>
      <c r="F322" s="134"/>
      <c r="G322" s="134"/>
      <c r="H322" s="134"/>
      <c r="I322" s="134"/>
      <c r="J322" s="134"/>
      <c r="K322" s="134"/>
      <c r="L322" s="135"/>
      <c r="M322" s="45" t="s">
        <v>5</v>
      </c>
      <c r="N322" s="136" t="s">
        <v>75</v>
      </c>
    </row>
    <row r="323" spans="2:14" x14ac:dyDescent="0.25">
      <c r="B323" s="47" t="s">
        <v>168</v>
      </c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9"/>
    </row>
    <row r="324" spans="2:14" x14ac:dyDescent="0.25">
      <c r="B324" s="84" t="s">
        <v>8</v>
      </c>
      <c r="C324" s="52" t="s">
        <v>9</v>
      </c>
      <c r="D324" s="50"/>
      <c r="E324" s="50"/>
      <c r="F324" s="50"/>
      <c r="G324" s="50" t="s">
        <v>10</v>
      </c>
      <c r="H324" s="50"/>
      <c r="I324" s="50"/>
      <c r="J324" s="51"/>
      <c r="K324" s="52" t="s">
        <v>11</v>
      </c>
      <c r="L324" s="52" t="s">
        <v>12</v>
      </c>
      <c r="M324" s="45" t="s">
        <v>13</v>
      </c>
      <c r="N324" s="137" t="s">
        <v>14</v>
      </c>
    </row>
    <row r="325" spans="2:14" ht="25.5" x14ac:dyDescent="0.25">
      <c r="B325" s="85" t="s">
        <v>41</v>
      </c>
      <c r="C325" s="138"/>
      <c r="D325" s="103" t="s">
        <v>169</v>
      </c>
      <c r="E325" s="87"/>
      <c r="F325" s="87"/>
      <c r="G325" s="87"/>
      <c r="H325" s="87"/>
      <c r="I325" s="87"/>
      <c r="J325" s="88"/>
      <c r="K325" s="136" t="s">
        <v>75</v>
      </c>
      <c r="L325" s="90">
        <v>1</v>
      </c>
      <c r="M325" s="139">
        <v>39.33</v>
      </c>
      <c r="N325" s="140">
        <f>ROUND(M325*L325,2)</f>
        <v>39.33</v>
      </c>
    </row>
    <row r="326" spans="2:14" x14ac:dyDescent="0.25">
      <c r="B326" s="85" t="s">
        <v>96</v>
      </c>
      <c r="C326" s="138" t="s">
        <v>108</v>
      </c>
      <c r="D326" s="103" t="s">
        <v>97</v>
      </c>
      <c r="E326" s="87"/>
      <c r="F326" s="87"/>
      <c r="G326" s="87"/>
      <c r="H326" s="87"/>
      <c r="I326" s="87"/>
      <c r="J326" s="88"/>
      <c r="K326" s="92" t="s">
        <v>17</v>
      </c>
      <c r="L326" s="93">
        <v>0.6</v>
      </c>
      <c r="M326" s="139">
        <v>17.350000000000001</v>
      </c>
      <c r="N326" s="140">
        <f>ROUND(M326*L326,2)</f>
        <v>10.41</v>
      </c>
    </row>
    <row r="327" spans="2:14" x14ac:dyDescent="0.25">
      <c r="B327" s="85" t="s">
        <v>96</v>
      </c>
      <c r="C327" s="138" t="s">
        <v>109</v>
      </c>
      <c r="D327" s="103" t="s">
        <v>98</v>
      </c>
      <c r="E327" s="87"/>
      <c r="F327" s="87"/>
      <c r="G327" s="87"/>
      <c r="H327" s="87"/>
      <c r="I327" s="87"/>
      <c r="J327" s="88"/>
      <c r="K327" s="95" t="s">
        <v>17</v>
      </c>
      <c r="L327" s="93">
        <v>1.2</v>
      </c>
      <c r="M327" s="139">
        <v>21.5</v>
      </c>
      <c r="N327" s="140">
        <f>ROUND(M327*L327,2)</f>
        <v>25.8</v>
      </c>
    </row>
    <row r="328" spans="2:14" x14ac:dyDescent="0.25">
      <c r="B328" s="96"/>
      <c r="C328" s="97"/>
      <c r="D328" s="141" t="s">
        <v>34</v>
      </c>
      <c r="E328" s="142"/>
      <c r="F328" s="142"/>
      <c r="G328" s="142"/>
      <c r="H328" s="142"/>
      <c r="I328" s="142"/>
      <c r="J328" s="142"/>
      <c r="K328" s="112"/>
      <c r="L328" s="74"/>
      <c r="M328" s="75"/>
      <c r="N328" s="105">
        <f>ROUND(SUM(N325:N327),2)</f>
        <v>75.540000000000006</v>
      </c>
    </row>
    <row r="329" spans="2:14" x14ac:dyDescent="0.25">
      <c r="B329" s="25"/>
      <c r="C329" s="25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</row>
    <row r="330" spans="2:14" x14ac:dyDescent="0.25">
      <c r="B330" s="83" t="s">
        <v>20</v>
      </c>
      <c r="C330" s="74"/>
      <c r="D330" s="37" t="s">
        <v>3</v>
      </c>
      <c r="E330" s="38"/>
      <c r="F330" s="38"/>
      <c r="G330" s="38"/>
      <c r="H330" s="38"/>
      <c r="I330" s="38"/>
      <c r="J330" s="38"/>
      <c r="K330" s="38"/>
      <c r="L330" s="38"/>
      <c r="M330" s="38"/>
      <c r="N330" s="39"/>
    </row>
    <row r="331" spans="2:14" x14ac:dyDescent="0.25">
      <c r="B331" s="131" t="str">
        <f>[1]ORÇ!B223</f>
        <v>COMPOSIÇÃO 27</v>
      </c>
      <c r="C331" s="132"/>
      <c r="D331" s="133" t="s">
        <v>170</v>
      </c>
      <c r="E331" s="134"/>
      <c r="F331" s="134"/>
      <c r="G331" s="134"/>
      <c r="H331" s="134"/>
      <c r="I331" s="134"/>
      <c r="J331" s="134"/>
      <c r="K331" s="134"/>
      <c r="L331" s="135"/>
      <c r="M331" s="45" t="s">
        <v>5</v>
      </c>
      <c r="N331" s="136" t="s">
        <v>75</v>
      </c>
    </row>
    <row r="332" spans="2:14" x14ac:dyDescent="0.25">
      <c r="B332" s="47" t="s">
        <v>171</v>
      </c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9"/>
    </row>
    <row r="333" spans="2:14" x14ac:dyDescent="0.25">
      <c r="B333" s="84" t="s">
        <v>8</v>
      </c>
      <c r="C333" s="52" t="s">
        <v>9</v>
      </c>
      <c r="D333" s="50"/>
      <c r="E333" s="50"/>
      <c r="F333" s="50"/>
      <c r="G333" s="50" t="s">
        <v>10</v>
      </c>
      <c r="H333" s="50"/>
      <c r="I333" s="50"/>
      <c r="J333" s="51"/>
      <c r="K333" s="52" t="s">
        <v>11</v>
      </c>
      <c r="L333" s="52" t="s">
        <v>12</v>
      </c>
      <c r="M333" s="45" t="s">
        <v>13</v>
      </c>
      <c r="N333" s="137" t="s">
        <v>14</v>
      </c>
    </row>
    <row r="334" spans="2:14" ht="25.5" x14ac:dyDescent="0.25">
      <c r="B334" s="85" t="s">
        <v>41</v>
      </c>
      <c r="C334" s="138"/>
      <c r="D334" s="103" t="s">
        <v>172</v>
      </c>
      <c r="E334" s="87"/>
      <c r="F334" s="87"/>
      <c r="G334" s="87"/>
      <c r="H334" s="87"/>
      <c r="I334" s="87"/>
      <c r="J334" s="88"/>
      <c r="K334" s="136" t="s">
        <v>75</v>
      </c>
      <c r="L334" s="90">
        <v>1</v>
      </c>
      <c r="M334" s="139">
        <v>9.5500000000000007</v>
      </c>
      <c r="N334" s="140">
        <f>ROUND(M334*L334,2)</f>
        <v>9.5500000000000007</v>
      </c>
    </row>
    <row r="335" spans="2:14" x14ac:dyDescent="0.25">
      <c r="B335" s="85" t="s">
        <v>96</v>
      </c>
      <c r="C335" s="138" t="s">
        <v>108</v>
      </c>
      <c r="D335" s="103" t="s">
        <v>97</v>
      </c>
      <c r="E335" s="87"/>
      <c r="F335" s="87"/>
      <c r="G335" s="87"/>
      <c r="H335" s="87"/>
      <c r="I335" s="87"/>
      <c r="J335" s="88"/>
      <c r="K335" s="92" t="s">
        <v>17</v>
      </c>
      <c r="L335" s="93">
        <v>0.3</v>
      </c>
      <c r="M335" s="139">
        <v>17.350000000000001</v>
      </c>
      <c r="N335" s="140">
        <f>ROUND(M335*L335,2)</f>
        <v>5.21</v>
      </c>
    </row>
    <row r="336" spans="2:14" x14ac:dyDescent="0.25">
      <c r="B336" s="85" t="s">
        <v>96</v>
      </c>
      <c r="C336" s="138" t="s">
        <v>109</v>
      </c>
      <c r="D336" s="103" t="s">
        <v>98</v>
      </c>
      <c r="E336" s="87"/>
      <c r="F336" s="87"/>
      <c r="G336" s="87"/>
      <c r="H336" s="87"/>
      <c r="I336" s="87"/>
      <c r="J336" s="88"/>
      <c r="K336" s="95" t="s">
        <v>17</v>
      </c>
      <c r="L336" s="93">
        <v>0.6</v>
      </c>
      <c r="M336" s="139">
        <v>21.5</v>
      </c>
      <c r="N336" s="140">
        <f>ROUND(M336*L336,2)</f>
        <v>12.9</v>
      </c>
    </row>
    <row r="337" spans="2:14" x14ac:dyDescent="0.25">
      <c r="B337" s="96"/>
      <c r="C337" s="97"/>
      <c r="D337" s="141" t="s">
        <v>34</v>
      </c>
      <c r="E337" s="142"/>
      <c r="F337" s="142"/>
      <c r="G337" s="142"/>
      <c r="H337" s="142"/>
      <c r="I337" s="142"/>
      <c r="J337" s="142"/>
      <c r="K337" s="112"/>
      <c r="L337" s="74"/>
      <c r="M337" s="75"/>
      <c r="N337" s="105">
        <f>ROUND(SUM(N334:N336),2)</f>
        <v>27.66</v>
      </c>
    </row>
    <row r="338" spans="2:14" x14ac:dyDescent="0.25">
      <c r="B338" s="25"/>
      <c r="C338" s="25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</row>
    <row r="339" spans="2:14" x14ac:dyDescent="0.25">
      <c r="B339" s="83" t="s">
        <v>20</v>
      </c>
      <c r="C339" s="74"/>
      <c r="D339" s="37" t="s">
        <v>3</v>
      </c>
      <c r="E339" s="38"/>
      <c r="F339" s="38"/>
      <c r="G339" s="38"/>
      <c r="H339" s="38"/>
      <c r="I339" s="38"/>
      <c r="J339" s="38"/>
      <c r="K339" s="38"/>
      <c r="L339" s="38"/>
      <c r="M339" s="38"/>
      <c r="N339" s="39"/>
    </row>
    <row r="340" spans="2:14" x14ac:dyDescent="0.25">
      <c r="B340" s="131" t="str">
        <f>[1]ORÇ!B227</f>
        <v>SINAPI</v>
      </c>
      <c r="C340" s="132"/>
      <c r="D340" s="133" t="s">
        <v>173</v>
      </c>
      <c r="E340" s="134"/>
      <c r="F340" s="134"/>
      <c r="G340" s="134"/>
      <c r="H340" s="134"/>
      <c r="I340" s="134"/>
      <c r="J340" s="134"/>
      <c r="K340" s="134"/>
      <c r="L340" s="135"/>
      <c r="M340" s="45" t="s">
        <v>5</v>
      </c>
      <c r="N340" s="136" t="s">
        <v>75</v>
      </c>
    </row>
    <row r="341" spans="2:14" x14ac:dyDescent="0.25">
      <c r="B341" s="47" t="s">
        <v>174</v>
      </c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9"/>
    </row>
    <row r="342" spans="2:14" x14ac:dyDescent="0.25">
      <c r="B342" s="84" t="s">
        <v>8</v>
      </c>
      <c r="C342" s="52" t="s">
        <v>9</v>
      </c>
      <c r="D342" s="50"/>
      <c r="E342" s="50"/>
      <c r="F342" s="50"/>
      <c r="G342" s="50" t="s">
        <v>10</v>
      </c>
      <c r="H342" s="50"/>
      <c r="I342" s="50"/>
      <c r="J342" s="51"/>
      <c r="K342" s="52" t="s">
        <v>11</v>
      </c>
      <c r="L342" s="52" t="s">
        <v>12</v>
      </c>
      <c r="M342" s="45" t="s">
        <v>13</v>
      </c>
      <c r="N342" s="137" t="s">
        <v>14</v>
      </c>
    </row>
    <row r="343" spans="2:14" ht="25.5" x14ac:dyDescent="0.25">
      <c r="B343" s="85" t="s">
        <v>41</v>
      </c>
      <c r="C343" s="138"/>
      <c r="D343" s="143" t="s">
        <v>175</v>
      </c>
      <c r="E343" s="144"/>
      <c r="F343" s="144"/>
      <c r="G343" s="144"/>
      <c r="H343" s="144"/>
      <c r="I343" s="144"/>
      <c r="J343" s="145"/>
      <c r="K343" s="136" t="s">
        <v>75</v>
      </c>
      <c r="L343" s="90">
        <v>1</v>
      </c>
      <c r="M343" s="139">
        <v>5.0999999999999996</v>
      </c>
      <c r="N343" s="140">
        <f>ROUND(M343*L343,2)</f>
        <v>5.0999999999999996</v>
      </c>
    </row>
    <row r="344" spans="2:14" x14ac:dyDescent="0.25">
      <c r="B344" s="85" t="s">
        <v>96</v>
      </c>
      <c r="C344" s="138" t="s">
        <v>108</v>
      </c>
      <c r="D344" s="103" t="s">
        <v>97</v>
      </c>
      <c r="E344" s="87"/>
      <c r="F344" s="87"/>
      <c r="G344" s="87"/>
      <c r="H344" s="87"/>
      <c r="I344" s="87"/>
      <c r="J344" s="88"/>
      <c r="K344" s="92" t="s">
        <v>17</v>
      </c>
      <c r="L344" s="93">
        <v>0.05</v>
      </c>
      <c r="M344" s="139">
        <v>17.350000000000001</v>
      </c>
      <c r="N344" s="140">
        <f>ROUND(M344*L344,2)</f>
        <v>0.87</v>
      </c>
    </row>
    <row r="345" spans="2:14" x14ac:dyDescent="0.25">
      <c r="B345" s="85" t="s">
        <v>96</v>
      </c>
      <c r="C345" s="138" t="s">
        <v>109</v>
      </c>
      <c r="D345" s="103" t="s">
        <v>98</v>
      </c>
      <c r="E345" s="87"/>
      <c r="F345" s="87"/>
      <c r="G345" s="87"/>
      <c r="H345" s="87"/>
      <c r="I345" s="87"/>
      <c r="J345" s="88"/>
      <c r="K345" s="95" t="s">
        <v>17</v>
      </c>
      <c r="L345" s="93">
        <v>0.1</v>
      </c>
      <c r="M345" s="139">
        <v>21.5</v>
      </c>
      <c r="N345" s="140">
        <f>ROUND(M345*L345,2)</f>
        <v>2.15</v>
      </c>
    </row>
    <row r="346" spans="2:14" x14ac:dyDescent="0.25">
      <c r="B346" s="96"/>
      <c r="C346" s="97"/>
      <c r="D346" s="141" t="s">
        <v>34</v>
      </c>
      <c r="E346" s="142"/>
      <c r="F346" s="142"/>
      <c r="G346" s="142"/>
      <c r="H346" s="142"/>
      <c r="I346" s="142"/>
      <c r="J346" s="142"/>
      <c r="K346" s="112"/>
      <c r="L346" s="74"/>
      <c r="M346" s="75"/>
      <c r="N346" s="105">
        <f>ROUND(SUM(N343:N345),2)</f>
        <v>8.1199999999999992</v>
      </c>
    </row>
    <row r="347" spans="2:14" x14ac:dyDescent="0.25">
      <c r="B347" s="25"/>
      <c r="C347" s="25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</row>
    <row r="348" spans="2:14" x14ac:dyDescent="0.25">
      <c r="B348" s="83" t="s">
        <v>20</v>
      </c>
      <c r="C348" s="74"/>
      <c r="D348" s="37" t="s">
        <v>3</v>
      </c>
      <c r="E348" s="38"/>
      <c r="F348" s="38"/>
      <c r="G348" s="38"/>
      <c r="H348" s="38"/>
      <c r="I348" s="38"/>
      <c r="J348" s="38"/>
      <c r="K348" s="38"/>
      <c r="L348" s="38"/>
      <c r="M348" s="38"/>
      <c r="N348" s="39"/>
    </row>
    <row r="349" spans="2:14" x14ac:dyDescent="0.25">
      <c r="B349" s="131" t="str">
        <f>[1]ORÇ!B232</f>
        <v>SINAPI</v>
      </c>
      <c r="C349" s="132"/>
      <c r="D349" s="133" t="s">
        <v>176</v>
      </c>
      <c r="E349" s="134"/>
      <c r="F349" s="134"/>
      <c r="G349" s="134"/>
      <c r="H349" s="134"/>
      <c r="I349" s="134"/>
      <c r="J349" s="134"/>
      <c r="K349" s="134"/>
      <c r="L349" s="135"/>
      <c r="M349" s="45" t="s">
        <v>5</v>
      </c>
      <c r="N349" s="136" t="s">
        <v>75</v>
      </c>
    </row>
    <row r="350" spans="2:14" x14ac:dyDescent="0.25">
      <c r="B350" s="47" t="s">
        <v>177</v>
      </c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9"/>
    </row>
    <row r="351" spans="2:14" x14ac:dyDescent="0.25">
      <c r="B351" s="84" t="s">
        <v>8</v>
      </c>
      <c r="C351" s="52" t="s">
        <v>9</v>
      </c>
      <c r="D351" s="50"/>
      <c r="E351" s="50"/>
      <c r="F351" s="50"/>
      <c r="G351" s="50" t="s">
        <v>10</v>
      </c>
      <c r="H351" s="50"/>
      <c r="I351" s="50"/>
      <c r="J351" s="51"/>
      <c r="K351" s="52" t="s">
        <v>11</v>
      </c>
      <c r="L351" s="52" t="s">
        <v>12</v>
      </c>
      <c r="M351" s="45" t="s">
        <v>13</v>
      </c>
      <c r="N351" s="137" t="s">
        <v>14</v>
      </c>
    </row>
    <row r="352" spans="2:14" ht="25.5" x14ac:dyDescent="0.25">
      <c r="B352" s="85" t="s">
        <v>41</v>
      </c>
      <c r="C352" s="138"/>
      <c r="D352" s="103" t="s">
        <v>178</v>
      </c>
      <c r="E352" s="87"/>
      <c r="F352" s="87"/>
      <c r="G352" s="87"/>
      <c r="H352" s="87"/>
      <c r="I352" s="87"/>
      <c r="J352" s="88"/>
      <c r="K352" s="136" t="s">
        <v>75</v>
      </c>
      <c r="L352" s="90">
        <v>1</v>
      </c>
      <c r="M352" s="139">
        <v>118.83</v>
      </c>
      <c r="N352" s="140">
        <f>ROUND(M352*L352,2)</f>
        <v>118.83</v>
      </c>
    </row>
    <row r="353" spans="2:14" x14ac:dyDescent="0.25">
      <c r="B353" s="85" t="s">
        <v>96</v>
      </c>
      <c r="C353" s="138" t="s">
        <v>108</v>
      </c>
      <c r="D353" s="103" t="s">
        <v>97</v>
      </c>
      <c r="E353" s="87"/>
      <c r="F353" s="87"/>
      <c r="G353" s="87"/>
      <c r="H353" s="87"/>
      <c r="I353" s="87"/>
      <c r="J353" s="88"/>
      <c r="K353" s="92" t="s">
        <v>17</v>
      </c>
      <c r="L353" s="93">
        <v>0.15</v>
      </c>
      <c r="M353" s="139">
        <v>17.350000000000001</v>
      </c>
      <c r="N353" s="140">
        <f>ROUND(M353*L353,2)</f>
        <v>2.6</v>
      </c>
    </row>
    <row r="354" spans="2:14" x14ac:dyDescent="0.25">
      <c r="B354" s="85" t="s">
        <v>96</v>
      </c>
      <c r="C354" s="138" t="s">
        <v>109</v>
      </c>
      <c r="D354" s="103" t="s">
        <v>98</v>
      </c>
      <c r="E354" s="87"/>
      <c r="F354" s="87"/>
      <c r="G354" s="87"/>
      <c r="H354" s="87"/>
      <c r="I354" s="87"/>
      <c r="J354" s="88"/>
      <c r="K354" s="95" t="s">
        <v>17</v>
      </c>
      <c r="L354" s="93">
        <v>0.4</v>
      </c>
      <c r="M354" s="139">
        <v>21.5</v>
      </c>
      <c r="N354" s="140">
        <f>ROUND(M354*L354,2)</f>
        <v>8.6</v>
      </c>
    </row>
    <row r="355" spans="2:14" x14ac:dyDescent="0.25">
      <c r="B355" s="96"/>
      <c r="C355" s="97"/>
      <c r="D355" s="141" t="s">
        <v>34</v>
      </c>
      <c r="E355" s="142"/>
      <c r="F355" s="142"/>
      <c r="G355" s="142"/>
      <c r="H355" s="142"/>
      <c r="I355" s="142"/>
      <c r="J355" s="142"/>
      <c r="K355" s="112"/>
      <c r="L355" s="74"/>
      <c r="M355" s="75"/>
      <c r="N355" s="105">
        <f>ROUND(SUM(N352:N354),2)</f>
        <v>130.03</v>
      </c>
    </row>
    <row r="356" spans="2:14" x14ac:dyDescent="0.25">
      <c r="B356" s="25"/>
      <c r="C356" s="25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</row>
    <row r="357" spans="2:14" x14ac:dyDescent="0.25">
      <c r="B357" s="83" t="s">
        <v>20</v>
      </c>
      <c r="C357" s="74"/>
      <c r="D357" s="37" t="s">
        <v>3</v>
      </c>
      <c r="E357" s="38"/>
      <c r="F357" s="38"/>
      <c r="G357" s="38"/>
      <c r="H357" s="38"/>
      <c r="I357" s="38"/>
      <c r="J357" s="38"/>
      <c r="K357" s="38"/>
      <c r="L357" s="38"/>
      <c r="M357" s="38"/>
      <c r="N357" s="39"/>
    </row>
    <row r="358" spans="2:14" x14ac:dyDescent="0.25">
      <c r="B358" s="131" t="str">
        <f>[1]ORÇ!B233</f>
        <v>SINAPI</v>
      </c>
      <c r="C358" s="132"/>
      <c r="D358" s="133" t="s">
        <v>179</v>
      </c>
      <c r="E358" s="134"/>
      <c r="F358" s="134"/>
      <c r="G358" s="134"/>
      <c r="H358" s="134"/>
      <c r="I358" s="134"/>
      <c r="J358" s="134"/>
      <c r="K358" s="134"/>
      <c r="L358" s="135"/>
      <c r="M358" s="45" t="s">
        <v>5</v>
      </c>
      <c r="N358" s="136" t="s">
        <v>75</v>
      </c>
    </row>
    <row r="359" spans="2:14" x14ac:dyDescent="0.25">
      <c r="B359" s="47" t="s">
        <v>180</v>
      </c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9"/>
    </row>
    <row r="360" spans="2:14" x14ac:dyDescent="0.25">
      <c r="B360" s="84" t="s">
        <v>8</v>
      </c>
      <c r="C360" s="52" t="s">
        <v>9</v>
      </c>
      <c r="D360" s="50"/>
      <c r="E360" s="50"/>
      <c r="F360" s="50"/>
      <c r="G360" s="50" t="s">
        <v>10</v>
      </c>
      <c r="H360" s="50"/>
      <c r="I360" s="50"/>
      <c r="J360" s="51"/>
      <c r="K360" s="52" t="s">
        <v>11</v>
      </c>
      <c r="L360" s="52" t="s">
        <v>12</v>
      </c>
      <c r="M360" s="45" t="s">
        <v>13</v>
      </c>
      <c r="N360" s="137" t="s">
        <v>14</v>
      </c>
    </row>
    <row r="361" spans="2:14" ht="25.5" x14ac:dyDescent="0.25">
      <c r="B361" s="85" t="s">
        <v>41</v>
      </c>
      <c r="C361" s="138"/>
      <c r="D361" s="103" t="s">
        <v>181</v>
      </c>
      <c r="E361" s="87"/>
      <c r="F361" s="87"/>
      <c r="G361" s="87"/>
      <c r="H361" s="87"/>
      <c r="I361" s="87"/>
      <c r="J361" s="88"/>
      <c r="K361" s="136" t="s">
        <v>75</v>
      </c>
      <c r="L361" s="90">
        <v>1</v>
      </c>
      <c r="M361" s="139">
        <v>139.88999999999999</v>
      </c>
      <c r="N361" s="140">
        <f>ROUND(M361*L361,2)</f>
        <v>139.88999999999999</v>
      </c>
    </row>
    <row r="362" spans="2:14" x14ac:dyDescent="0.25">
      <c r="B362" s="85" t="s">
        <v>96</v>
      </c>
      <c r="C362" s="138" t="s">
        <v>108</v>
      </c>
      <c r="D362" s="103" t="s">
        <v>97</v>
      </c>
      <c r="E362" s="87"/>
      <c r="F362" s="87"/>
      <c r="G362" s="87"/>
      <c r="H362" s="87"/>
      <c r="I362" s="87"/>
      <c r="J362" s="88"/>
      <c r="K362" s="92" t="s">
        <v>17</v>
      </c>
      <c r="L362" s="93">
        <v>0.15</v>
      </c>
      <c r="M362" s="139">
        <v>17.350000000000001</v>
      </c>
      <c r="N362" s="140">
        <f>ROUND(M362*L362,2)</f>
        <v>2.6</v>
      </c>
    </row>
    <row r="363" spans="2:14" x14ac:dyDescent="0.25">
      <c r="B363" s="85" t="s">
        <v>96</v>
      </c>
      <c r="C363" s="138" t="s">
        <v>109</v>
      </c>
      <c r="D363" s="103" t="s">
        <v>98</v>
      </c>
      <c r="E363" s="87"/>
      <c r="F363" s="87"/>
      <c r="G363" s="87"/>
      <c r="H363" s="87"/>
      <c r="I363" s="87"/>
      <c r="J363" s="88"/>
      <c r="K363" s="95" t="s">
        <v>17</v>
      </c>
      <c r="L363" s="93">
        <v>0.4</v>
      </c>
      <c r="M363" s="139">
        <v>21.5</v>
      </c>
      <c r="N363" s="140">
        <f>ROUND(M363*L363,2)</f>
        <v>8.6</v>
      </c>
    </row>
    <row r="364" spans="2:14" x14ac:dyDescent="0.25">
      <c r="B364" s="96"/>
      <c r="C364" s="97"/>
      <c r="D364" s="141" t="s">
        <v>34</v>
      </c>
      <c r="E364" s="142"/>
      <c r="F364" s="142"/>
      <c r="G364" s="142"/>
      <c r="H364" s="142"/>
      <c r="I364" s="142"/>
      <c r="J364" s="142"/>
      <c r="K364" s="112"/>
      <c r="L364" s="74"/>
      <c r="M364" s="75"/>
      <c r="N364" s="105">
        <f>ROUND(SUM(N361:N363),2)</f>
        <v>151.09</v>
      </c>
    </row>
    <row r="365" spans="2:14" x14ac:dyDescent="0.25">
      <c r="B365" s="25"/>
      <c r="C365" s="25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</row>
    <row r="366" spans="2:14" x14ac:dyDescent="0.25">
      <c r="B366" s="83" t="s">
        <v>20</v>
      </c>
      <c r="C366" s="74"/>
      <c r="D366" s="37" t="s">
        <v>3</v>
      </c>
      <c r="E366" s="38"/>
      <c r="F366" s="38"/>
      <c r="G366" s="38"/>
      <c r="H366" s="38"/>
      <c r="I366" s="38"/>
      <c r="J366" s="38"/>
      <c r="K366" s="38"/>
      <c r="L366" s="38"/>
      <c r="M366" s="38"/>
      <c r="N366" s="39"/>
    </row>
    <row r="367" spans="2:14" x14ac:dyDescent="0.25">
      <c r="B367" s="131" t="str">
        <f>[1]ORÇ!B234</f>
        <v>SINAPI</v>
      </c>
      <c r="C367" s="132"/>
      <c r="D367" s="133" t="s">
        <v>182</v>
      </c>
      <c r="E367" s="134"/>
      <c r="F367" s="134"/>
      <c r="G367" s="134"/>
      <c r="H367" s="134"/>
      <c r="I367" s="134"/>
      <c r="J367" s="134"/>
      <c r="K367" s="134"/>
      <c r="L367" s="135"/>
      <c r="M367" s="45" t="s">
        <v>5</v>
      </c>
      <c r="N367" s="136" t="s">
        <v>75</v>
      </c>
    </row>
    <row r="368" spans="2:14" x14ac:dyDescent="0.25">
      <c r="B368" s="47" t="s">
        <v>183</v>
      </c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9"/>
    </row>
    <row r="369" spans="2:14" x14ac:dyDescent="0.25">
      <c r="B369" s="84" t="s">
        <v>8</v>
      </c>
      <c r="C369" s="52" t="s">
        <v>9</v>
      </c>
      <c r="D369" s="50"/>
      <c r="E369" s="50"/>
      <c r="F369" s="50"/>
      <c r="G369" s="50" t="s">
        <v>10</v>
      </c>
      <c r="H369" s="50"/>
      <c r="I369" s="50"/>
      <c r="J369" s="51"/>
      <c r="K369" s="52" t="s">
        <v>11</v>
      </c>
      <c r="L369" s="52" t="s">
        <v>12</v>
      </c>
      <c r="M369" s="45" t="s">
        <v>13</v>
      </c>
      <c r="N369" s="137" t="s">
        <v>14</v>
      </c>
    </row>
    <row r="370" spans="2:14" ht="25.5" x14ac:dyDescent="0.25">
      <c r="B370" s="85" t="s">
        <v>41</v>
      </c>
      <c r="C370" s="138"/>
      <c r="D370" s="103" t="s">
        <v>184</v>
      </c>
      <c r="E370" s="87"/>
      <c r="F370" s="87"/>
      <c r="G370" s="87"/>
      <c r="H370" s="87"/>
      <c r="I370" s="87"/>
      <c r="J370" s="88"/>
      <c r="K370" s="136" t="s">
        <v>75</v>
      </c>
      <c r="L370" s="90">
        <v>1</v>
      </c>
      <c r="M370" s="139">
        <v>109.14</v>
      </c>
      <c r="N370" s="140">
        <f>ROUND(M370*L370,2)</f>
        <v>109.14</v>
      </c>
    </row>
    <row r="371" spans="2:14" x14ac:dyDescent="0.25">
      <c r="B371" s="85" t="s">
        <v>96</v>
      </c>
      <c r="C371" s="138" t="s">
        <v>108</v>
      </c>
      <c r="D371" s="103" t="s">
        <v>97</v>
      </c>
      <c r="E371" s="87"/>
      <c r="F371" s="87"/>
      <c r="G371" s="87"/>
      <c r="H371" s="87"/>
      <c r="I371" s="87"/>
      <c r="J371" s="88"/>
      <c r="K371" s="92" t="s">
        <v>17</v>
      </c>
      <c r="L371" s="93">
        <v>0.15</v>
      </c>
      <c r="M371" s="139">
        <v>17.350000000000001</v>
      </c>
      <c r="N371" s="140">
        <f>ROUND(M371*L371,2)</f>
        <v>2.6</v>
      </c>
    </row>
    <row r="372" spans="2:14" x14ac:dyDescent="0.25">
      <c r="B372" s="85" t="s">
        <v>96</v>
      </c>
      <c r="C372" s="138" t="s">
        <v>109</v>
      </c>
      <c r="D372" s="103" t="s">
        <v>98</v>
      </c>
      <c r="E372" s="87"/>
      <c r="F372" s="87"/>
      <c r="G372" s="87"/>
      <c r="H372" s="87"/>
      <c r="I372" s="87"/>
      <c r="J372" s="88"/>
      <c r="K372" s="95" t="s">
        <v>17</v>
      </c>
      <c r="L372" s="93">
        <v>0.4</v>
      </c>
      <c r="M372" s="139">
        <v>21.5</v>
      </c>
      <c r="N372" s="140">
        <f>ROUND(M372*L372,2)</f>
        <v>8.6</v>
      </c>
    </row>
    <row r="373" spans="2:14" x14ac:dyDescent="0.25">
      <c r="B373" s="96"/>
      <c r="C373" s="97"/>
      <c r="D373" s="141" t="s">
        <v>34</v>
      </c>
      <c r="E373" s="142"/>
      <c r="F373" s="142"/>
      <c r="G373" s="142"/>
      <c r="H373" s="142"/>
      <c r="I373" s="142"/>
      <c r="J373" s="142"/>
      <c r="K373" s="112"/>
      <c r="L373" s="74"/>
      <c r="M373" s="75"/>
      <c r="N373" s="105">
        <f>ROUND(SUM(N370:N372),2)</f>
        <v>120.34</v>
      </c>
    </row>
    <row r="374" spans="2:14" x14ac:dyDescent="0.25">
      <c r="B374" s="25"/>
      <c r="C374" s="25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</row>
    <row r="375" spans="2:14" x14ac:dyDescent="0.25">
      <c r="B375" s="83" t="s">
        <v>20</v>
      </c>
      <c r="C375" s="74"/>
      <c r="D375" s="37" t="s">
        <v>3</v>
      </c>
      <c r="E375" s="38"/>
      <c r="F375" s="38"/>
      <c r="G375" s="38"/>
      <c r="H375" s="38"/>
      <c r="I375" s="38"/>
      <c r="J375" s="38"/>
      <c r="K375" s="38"/>
      <c r="L375" s="38"/>
      <c r="M375" s="38"/>
      <c r="N375" s="39"/>
    </row>
    <row r="376" spans="2:14" x14ac:dyDescent="0.25">
      <c r="B376" s="131" t="str">
        <f>[1]ORÇ!B255</f>
        <v>SINAPI</v>
      </c>
      <c r="C376" s="132"/>
      <c r="D376" s="133" t="s">
        <v>185</v>
      </c>
      <c r="E376" s="134"/>
      <c r="F376" s="134"/>
      <c r="G376" s="134"/>
      <c r="H376" s="134"/>
      <c r="I376" s="134"/>
      <c r="J376" s="134"/>
      <c r="K376" s="134"/>
      <c r="L376" s="135"/>
      <c r="M376" s="45" t="s">
        <v>5</v>
      </c>
      <c r="N376" s="136" t="s">
        <v>75</v>
      </c>
    </row>
    <row r="377" spans="2:14" x14ac:dyDescent="0.25">
      <c r="B377" s="47" t="s">
        <v>186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9"/>
    </row>
    <row r="378" spans="2:14" x14ac:dyDescent="0.25">
      <c r="B378" s="84" t="s">
        <v>8</v>
      </c>
      <c r="C378" s="52" t="s">
        <v>9</v>
      </c>
      <c r="D378" s="50"/>
      <c r="E378" s="50"/>
      <c r="F378" s="50"/>
      <c r="G378" s="50" t="s">
        <v>10</v>
      </c>
      <c r="H378" s="50"/>
      <c r="I378" s="50"/>
      <c r="J378" s="51"/>
      <c r="K378" s="52" t="s">
        <v>11</v>
      </c>
      <c r="L378" s="52" t="s">
        <v>12</v>
      </c>
      <c r="M378" s="45" t="s">
        <v>13</v>
      </c>
      <c r="N378" s="137" t="s">
        <v>14</v>
      </c>
    </row>
    <row r="379" spans="2:14" ht="25.5" x14ac:dyDescent="0.25">
      <c r="B379" s="85" t="s">
        <v>41</v>
      </c>
      <c r="C379" s="138"/>
      <c r="D379" s="103" t="s">
        <v>187</v>
      </c>
      <c r="E379" s="87"/>
      <c r="F379" s="87"/>
      <c r="G379" s="87"/>
      <c r="H379" s="87"/>
      <c r="I379" s="87"/>
      <c r="J379" s="88"/>
      <c r="K379" s="136" t="s">
        <v>75</v>
      </c>
      <c r="L379" s="90">
        <v>1</v>
      </c>
      <c r="M379" s="139">
        <v>37.57</v>
      </c>
      <c r="N379" s="140">
        <f>ROUND(M379*L379,2)</f>
        <v>37.57</v>
      </c>
    </row>
    <row r="380" spans="2:14" x14ac:dyDescent="0.25">
      <c r="B380" s="85" t="s">
        <v>96</v>
      </c>
      <c r="C380" s="138" t="s">
        <v>108</v>
      </c>
      <c r="D380" s="103" t="s">
        <v>97</v>
      </c>
      <c r="E380" s="87"/>
      <c r="F380" s="87"/>
      <c r="G380" s="87"/>
      <c r="H380" s="87"/>
      <c r="I380" s="87"/>
      <c r="J380" s="88"/>
      <c r="K380" s="92" t="s">
        <v>17</v>
      </c>
      <c r="L380" s="93">
        <v>0.5</v>
      </c>
      <c r="M380" s="139">
        <v>17.350000000000001</v>
      </c>
      <c r="N380" s="140">
        <f>ROUND(M380*L380,2)</f>
        <v>8.68</v>
      </c>
    </row>
    <row r="381" spans="2:14" x14ac:dyDescent="0.25">
      <c r="B381" s="85" t="s">
        <v>96</v>
      </c>
      <c r="C381" s="138" t="s">
        <v>109</v>
      </c>
      <c r="D381" s="103" t="s">
        <v>98</v>
      </c>
      <c r="E381" s="87"/>
      <c r="F381" s="87"/>
      <c r="G381" s="87"/>
      <c r="H381" s="87"/>
      <c r="I381" s="87"/>
      <c r="J381" s="88"/>
      <c r="K381" s="95" t="s">
        <v>17</v>
      </c>
      <c r="L381" s="93">
        <v>1</v>
      </c>
      <c r="M381" s="139">
        <v>21.5</v>
      </c>
      <c r="N381" s="140">
        <f>ROUND(M381*L381,2)</f>
        <v>21.5</v>
      </c>
    </row>
    <row r="382" spans="2:14" x14ac:dyDescent="0.25">
      <c r="B382" s="96"/>
      <c r="C382" s="97"/>
      <c r="D382" s="141" t="s">
        <v>34</v>
      </c>
      <c r="E382" s="142"/>
      <c r="F382" s="142"/>
      <c r="G382" s="142"/>
      <c r="H382" s="142"/>
      <c r="I382" s="142"/>
      <c r="J382" s="142"/>
      <c r="K382" s="112"/>
      <c r="L382" s="74"/>
      <c r="M382" s="75"/>
      <c r="N382" s="105">
        <f>ROUND(SUM(N379:N381),2)</f>
        <v>67.75</v>
      </c>
    </row>
    <row r="383" spans="2:14" x14ac:dyDescent="0.25">
      <c r="B383" s="25"/>
      <c r="C383" s="25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</row>
    <row r="384" spans="2:14" x14ac:dyDescent="0.25">
      <c r="B384" s="35" t="s">
        <v>2</v>
      </c>
      <c r="C384" s="112" t="s">
        <v>3</v>
      </c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</row>
    <row r="385" spans="2:14" x14ac:dyDescent="0.25">
      <c r="B385" s="40" t="str">
        <f>[1]ORÇ!B115</f>
        <v>COMPOSIÇÃO 7</v>
      </c>
      <c r="C385" s="25"/>
      <c r="D385" s="42" t="s">
        <v>188</v>
      </c>
      <c r="E385" s="43"/>
      <c r="F385" s="43"/>
      <c r="G385" s="43"/>
      <c r="H385" s="43"/>
      <c r="I385" s="43"/>
      <c r="J385" s="43"/>
      <c r="K385" s="43"/>
      <c r="L385" s="44"/>
      <c r="M385" s="45" t="s">
        <v>5</v>
      </c>
      <c r="N385" s="46" t="s">
        <v>6</v>
      </c>
    </row>
    <row r="386" spans="2:14" x14ac:dyDescent="0.25">
      <c r="B386" s="112" t="s">
        <v>189</v>
      </c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</row>
    <row r="387" spans="2:14" x14ac:dyDescent="0.25">
      <c r="B387" s="113" t="s">
        <v>8</v>
      </c>
      <c r="C387" s="114" t="s">
        <v>9</v>
      </c>
      <c r="D387" s="115" t="s">
        <v>10</v>
      </c>
      <c r="E387" s="116"/>
      <c r="F387" s="116"/>
      <c r="G387" s="116"/>
      <c r="H387" s="116"/>
      <c r="I387" s="116"/>
      <c r="J387" s="117"/>
      <c r="K387" s="114" t="s">
        <v>11</v>
      </c>
      <c r="L387" s="114" t="s">
        <v>12</v>
      </c>
      <c r="M387" s="118" t="s">
        <v>13</v>
      </c>
      <c r="N387" s="118" t="s">
        <v>14</v>
      </c>
    </row>
    <row r="388" spans="2:14" x14ac:dyDescent="0.25">
      <c r="B388" s="119" t="s">
        <v>15</v>
      </c>
      <c r="C388" s="59" t="s">
        <v>190</v>
      </c>
      <c r="D388" s="56" t="s">
        <v>191</v>
      </c>
      <c r="E388" s="57"/>
      <c r="F388" s="57"/>
      <c r="G388" s="57"/>
      <c r="H388" s="57"/>
      <c r="I388" s="57"/>
      <c r="J388" s="58"/>
      <c r="K388" s="59" t="s">
        <v>75</v>
      </c>
      <c r="L388" s="120">
        <v>1</v>
      </c>
      <c r="M388" s="61">
        <v>743.47</v>
      </c>
      <c r="N388" s="62">
        <f t="shared" ref="N388:N393" si="5">ROUND(M388*L388,2)</f>
        <v>743.47</v>
      </c>
    </row>
    <row r="389" spans="2:14" x14ac:dyDescent="0.25">
      <c r="B389" s="119" t="s">
        <v>15</v>
      </c>
      <c r="C389" s="59">
        <v>91305</v>
      </c>
      <c r="D389" s="108" t="s">
        <v>192</v>
      </c>
      <c r="E389" s="108"/>
      <c r="F389" s="108"/>
      <c r="G389" s="108"/>
      <c r="H389" s="108"/>
      <c r="I389" s="108"/>
      <c r="J389" s="108"/>
      <c r="K389" s="59" t="s">
        <v>75</v>
      </c>
      <c r="L389" s="120">
        <v>1</v>
      </c>
      <c r="M389" s="61">
        <v>93.23</v>
      </c>
      <c r="N389" s="62">
        <f t="shared" si="5"/>
        <v>93.23</v>
      </c>
    </row>
    <row r="390" spans="2:14" x14ac:dyDescent="0.25">
      <c r="B390" s="119" t="s">
        <v>15</v>
      </c>
      <c r="C390" s="59">
        <v>100866</v>
      </c>
      <c r="D390" s="108" t="s">
        <v>193</v>
      </c>
      <c r="E390" s="108"/>
      <c r="F390" s="108"/>
      <c r="G390" s="108"/>
      <c r="H390" s="108"/>
      <c r="I390" s="108"/>
      <c r="J390" s="108"/>
      <c r="K390" s="59" t="s">
        <v>75</v>
      </c>
      <c r="L390" s="120">
        <v>2</v>
      </c>
      <c r="M390" s="61">
        <v>290.67</v>
      </c>
      <c r="N390" s="62">
        <f t="shared" si="5"/>
        <v>581.34</v>
      </c>
    </row>
    <row r="391" spans="2:14" x14ac:dyDescent="0.25">
      <c r="B391" s="119" t="s">
        <v>26</v>
      </c>
      <c r="C391" s="59" t="s">
        <v>194</v>
      </c>
      <c r="D391" s="56" t="s">
        <v>195</v>
      </c>
      <c r="E391" s="57"/>
      <c r="F391" s="57"/>
      <c r="G391" s="57"/>
      <c r="H391" s="57"/>
      <c r="I391" s="57"/>
      <c r="J391" s="58"/>
      <c r="K391" s="59" t="s">
        <v>28</v>
      </c>
      <c r="L391" s="120">
        <f>0.4*0.9</f>
        <v>0.36000000000000004</v>
      </c>
      <c r="M391" s="61">
        <v>824.28</v>
      </c>
      <c r="N391" s="62">
        <f t="shared" si="5"/>
        <v>296.74</v>
      </c>
    </row>
    <row r="392" spans="2:14" x14ac:dyDescent="0.25">
      <c r="B392" s="119" t="s">
        <v>15</v>
      </c>
      <c r="C392" s="59">
        <v>88309</v>
      </c>
      <c r="D392" s="108" t="s">
        <v>32</v>
      </c>
      <c r="E392" s="108"/>
      <c r="F392" s="108"/>
      <c r="G392" s="108"/>
      <c r="H392" s="108"/>
      <c r="I392" s="108"/>
      <c r="J392" s="108"/>
      <c r="K392" s="59" t="s">
        <v>17</v>
      </c>
      <c r="L392" s="126">
        <v>2.024</v>
      </c>
      <c r="M392" s="61">
        <v>21.31</v>
      </c>
      <c r="N392" s="62">
        <f t="shared" si="5"/>
        <v>43.13</v>
      </c>
    </row>
    <row r="393" spans="2:14" x14ac:dyDescent="0.25">
      <c r="B393" s="119" t="s">
        <v>15</v>
      </c>
      <c r="C393" s="59">
        <v>88316</v>
      </c>
      <c r="D393" s="108" t="s">
        <v>33</v>
      </c>
      <c r="E393" s="108"/>
      <c r="F393" s="108"/>
      <c r="G393" s="108"/>
      <c r="H393" s="108"/>
      <c r="I393" s="108"/>
      <c r="J393" s="108"/>
      <c r="K393" s="59" t="s">
        <v>17</v>
      </c>
      <c r="L393" s="126">
        <v>1.1759999999999999</v>
      </c>
      <c r="M393" s="61">
        <v>17.09</v>
      </c>
      <c r="N393" s="62">
        <f t="shared" si="5"/>
        <v>20.100000000000001</v>
      </c>
    </row>
    <row r="394" spans="2:14" x14ac:dyDescent="0.25">
      <c r="B394" s="37" t="s">
        <v>34</v>
      </c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73"/>
      <c r="N394" s="105">
        <f>SUM(N388:N393)</f>
        <v>1778.01</v>
      </c>
    </row>
    <row r="395" spans="2:14" x14ac:dyDescent="0.25">
      <c r="B395" s="25"/>
      <c r="C395" s="25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</row>
    <row r="396" spans="2:14" x14ac:dyDescent="0.25">
      <c r="B396" s="35" t="s">
        <v>2</v>
      </c>
      <c r="C396" s="37" t="s">
        <v>3</v>
      </c>
      <c r="D396" s="38"/>
      <c r="E396" s="38"/>
      <c r="F396" s="38"/>
      <c r="G396" s="38"/>
      <c r="H396" s="38"/>
      <c r="I396" s="38"/>
      <c r="J396" s="38"/>
      <c r="K396" s="38"/>
      <c r="L396" s="38"/>
      <c r="M396" s="39"/>
      <c r="N396" s="146"/>
    </row>
    <row r="397" spans="2:14" x14ac:dyDescent="0.25">
      <c r="B397" s="131" t="str">
        <f>[1]ORÇ!B345</f>
        <v>SINAPI</v>
      </c>
      <c r="C397" s="132"/>
      <c r="D397" s="133" t="s">
        <v>196</v>
      </c>
      <c r="E397" s="134"/>
      <c r="F397" s="134"/>
      <c r="G397" s="134"/>
      <c r="H397" s="134"/>
      <c r="I397" s="134"/>
      <c r="J397" s="134"/>
      <c r="K397" s="134"/>
      <c r="L397" s="135"/>
      <c r="M397" s="45" t="s">
        <v>5</v>
      </c>
      <c r="N397" s="136" t="s">
        <v>6</v>
      </c>
    </row>
    <row r="398" spans="2:14" x14ac:dyDescent="0.25">
      <c r="B398" s="37" t="s">
        <v>197</v>
      </c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9"/>
    </row>
    <row r="399" spans="2:14" x14ac:dyDescent="0.25">
      <c r="B399" s="48" t="s">
        <v>8</v>
      </c>
      <c r="C399" s="147" t="s">
        <v>9</v>
      </c>
      <c r="D399" s="49"/>
      <c r="E399" s="50"/>
      <c r="F399" s="50"/>
      <c r="G399" s="50" t="s">
        <v>10</v>
      </c>
      <c r="H399" s="50"/>
      <c r="I399" s="50"/>
      <c r="J399" s="51"/>
      <c r="K399" s="52" t="s">
        <v>11</v>
      </c>
      <c r="L399" s="52" t="s">
        <v>12</v>
      </c>
      <c r="M399" s="45" t="s">
        <v>13</v>
      </c>
      <c r="N399" s="137" t="s">
        <v>14</v>
      </c>
    </row>
    <row r="400" spans="2:14" x14ac:dyDescent="0.25">
      <c r="B400" s="148" t="s">
        <v>26</v>
      </c>
      <c r="C400" s="92">
        <v>11708</v>
      </c>
      <c r="D400" s="149" t="s">
        <v>198</v>
      </c>
      <c r="E400" s="150"/>
      <c r="F400" s="150"/>
      <c r="G400" s="150"/>
      <c r="H400" s="150"/>
      <c r="I400" s="150"/>
      <c r="J400" s="151"/>
      <c r="K400" s="89" t="s">
        <v>75</v>
      </c>
      <c r="L400" s="93">
        <v>1</v>
      </c>
      <c r="M400" s="152">
        <v>21.31</v>
      </c>
      <c r="N400" s="62">
        <f t="shared" ref="N400:N403" si="6">ROUND(L400*M400,2)</f>
        <v>21.31</v>
      </c>
    </row>
    <row r="401" spans="2:15" x14ac:dyDescent="0.25">
      <c r="B401" s="148" t="s">
        <v>15</v>
      </c>
      <c r="C401" s="92">
        <v>87316</v>
      </c>
      <c r="D401" s="149" t="s">
        <v>199</v>
      </c>
      <c r="E401" s="150"/>
      <c r="F401" s="150"/>
      <c r="G401" s="150"/>
      <c r="H401" s="150"/>
      <c r="I401" s="150"/>
      <c r="J401" s="151"/>
      <c r="K401" s="89" t="s">
        <v>25</v>
      </c>
      <c r="L401" s="93">
        <v>0.01</v>
      </c>
      <c r="M401" s="152">
        <v>504.72</v>
      </c>
      <c r="N401" s="62">
        <f t="shared" si="6"/>
        <v>5.05</v>
      </c>
    </row>
    <row r="402" spans="2:15" x14ac:dyDescent="0.25">
      <c r="B402" s="148" t="s">
        <v>15</v>
      </c>
      <c r="C402" s="92">
        <v>88309</v>
      </c>
      <c r="D402" s="149" t="s">
        <v>32</v>
      </c>
      <c r="E402" s="150"/>
      <c r="F402" s="150"/>
      <c r="G402" s="150"/>
      <c r="H402" s="150"/>
      <c r="I402" s="150"/>
      <c r="J402" s="151"/>
      <c r="K402" s="89" t="s">
        <v>17</v>
      </c>
      <c r="L402" s="93">
        <v>1.6</v>
      </c>
      <c r="M402" s="152">
        <v>21.31</v>
      </c>
      <c r="N402" s="62">
        <f t="shared" si="6"/>
        <v>34.1</v>
      </c>
    </row>
    <row r="403" spans="2:15" x14ac:dyDescent="0.25">
      <c r="B403" s="148" t="s">
        <v>15</v>
      </c>
      <c r="C403" s="92">
        <v>88316</v>
      </c>
      <c r="D403" s="149" t="s">
        <v>33</v>
      </c>
      <c r="E403" s="150"/>
      <c r="F403" s="150"/>
      <c r="G403" s="150"/>
      <c r="H403" s="150"/>
      <c r="I403" s="150"/>
      <c r="J403" s="151"/>
      <c r="K403" s="89" t="s">
        <v>17</v>
      </c>
      <c r="L403" s="93">
        <v>1.6</v>
      </c>
      <c r="M403" s="152">
        <v>17.09</v>
      </c>
      <c r="N403" s="62">
        <f t="shared" si="6"/>
        <v>27.34</v>
      </c>
    </row>
    <row r="404" spans="2:15" x14ac:dyDescent="0.25">
      <c r="B404" s="153"/>
      <c r="C404" s="154"/>
      <c r="D404" s="38" t="s">
        <v>34</v>
      </c>
      <c r="E404" s="38"/>
      <c r="F404" s="38"/>
      <c r="G404" s="38"/>
      <c r="H404" s="38"/>
      <c r="I404" s="38"/>
      <c r="J404" s="38"/>
      <c r="K404" s="73"/>
      <c r="L404" s="74"/>
      <c r="M404" s="75"/>
      <c r="N404" s="76">
        <f>SUM(N400:N403)</f>
        <v>87.8</v>
      </c>
    </row>
    <row r="405" spans="2:15" x14ac:dyDescent="0.25">
      <c r="B405" s="25"/>
      <c r="C405" s="25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</row>
    <row r="406" spans="2:15" x14ac:dyDescent="0.25">
      <c r="B406" s="35" t="s">
        <v>20</v>
      </c>
      <c r="C406" s="37" t="s">
        <v>3</v>
      </c>
      <c r="D406" s="38"/>
      <c r="E406" s="38"/>
      <c r="F406" s="38"/>
      <c r="G406" s="38"/>
      <c r="H406" s="38"/>
      <c r="I406" s="38"/>
      <c r="J406" s="38"/>
      <c r="K406" s="38"/>
      <c r="L406" s="38"/>
      <c r="M406" s="39"/>
      <c r="N406" s="146"/>
    </row>
    <row r="407" spans="2:15" x14ac:dyDescent="0.25">
      <c r="B407" s="40" t="str">
        <f>[1]ORÇ!B387</f>
        <v>COMPOSIÇÃO 54</v>
      </c>
      <c r="C407" s="41"/>
      <c r="D407" s="42" t="s">
        <v>200</v>
      </c>
      <c r="E407" s="43"/>
      <c r="F407" s="43"/>
      <c r="G407" s="43"/>
      <c r="H407" s="43"/>
      <c r="I407" s="43"/>
      <c r="J407" s="43"/>
      <c r="K407" s="43"/>
      <c r="L407" s="44"/>
      <c r="M407" s="45" t="s">
        <v>5</v>
      </c>
      <c r="N407" s="46" t="s">
        <v>6</v>
      </c>
    </row>
    <row r="408" spans="2:15" x14ac:dyDescent="0.25">
      <c r="B408" s="37" t="s">
        <v>201</v>
      </c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9"/>
    </row>
    <row r="409" spans="2:15" x14ac:dyDescent="0.25">
      <c r="B409" s="48" t="s">
        <v>8</v>
      </c>
      <c r="C409" s="147" t="s">
        <v>9</v>
      </c>
      <c r="D409" s="49"/>
      <c r="E409" s="50"/>
      <c r="F409" s="50"/>
      <c r="G409" s="50" t="s">
        <v>10</v>
      </c>
      <c r="H409" s="50"/>
      <c r="I409" s="50"/>
      <c r="J409" s="51"/>
      <c r="K409" s="52" t="s">
        <v>11</v>
      </c>
      <c r="L409" s="52" t="s">
        <v>12</v>
      </c>
      <c r="M409" s="45" t="s">
        <v>13</v>
      </c>
      <c r="N409" s="53" t="s">
        <v>14</v>
      </c>
    </row>
    <row r="410" spans="2:15" x14ac:dyDescent="0.25">
      <c r="B410" s="148" t="s">
        <v>15</v>
      </c>
      <c r="C410" s="92">
        <v>88242</v>
      </c>
      <c r="D410" s="155" t="s">
        <v>90</v>
      </c>
      <c r="E410" s="156"/>
      <c r="F410" s="156"/>
      <c r="G410" s="156"/>
      <c r="H410" s="156"/>
      <c r="I410" s="156"/>
      <c r="J410" s="157"/>
      <c r="K410" s="89" t="s">
        <v>17</v>
      </c>
      <c r="L410" s="93">
        <v>0.2</v>
      </c>
      <c r="M410" s="158">
        <v>17.13</v>
      </c>
      <c r="N410" s="62">
        <f t="shared" ref="N410:N411" si="7">ROUND(L410*M410,2)</f>
        <v>3.43</v>
      </c>
    </row>
    <row r="411" spans="2:15" x14ac:dyDescent="0.25">
      <c r="B411" s="85" t="s">
        <v>26</v>
      </c>
      <c r="C411" s="86">
        <v>37558</v>
      </c>
      <c r="D411" s="103" t="s">
        <v>202</v>
      </c>
      <c r="E411" s="87"/>
      <c r="F411" s="87"/>
      <c r="G411" s="87"/>
      <c r="H411" s="87"/>
      <c r="I411" s="87"/>
      <c r="J411" s="88"/>
      <c r="K411" s="95" t="s">
        <v>75</v>
      </c>
      <c r="L411" s="93">
        <v>1</v>
      </c>
      <c r="M411" s="159">
        <v>30.76</v>
      </c>
      <c r="N411" s="62">
        <f t="shared" si="7"/>
        <v>30.76</v>
      </c>
    </row>
    <row r="412" spans="2:15" x14ac:dyDescent="0.25">
      <c r="B412" s="153"/>
      <c r="C412" s="160"/>
      <c r="D412" s="37" t="s">
        <v>34</v>
      </c>
      <c r="E412" s="38"/>
      <c r="F412" s="38"/>
      <c r="G412" s="38"/>
      <c r="H412" s="38"/>
      <c r="I412" s="38"/>
      <c r="J412" s="38"/>
      <c r="K412" s="73"/>
      <c r="L412" s="74"/>
      <c r="M412" s="75"/>
      <c r="N412" s="76">
        <f>SUM(N410:N411)</f>
        <v>34.190000000000005</v>
      </c>
    </row>
    <row r="413" spans="2:15" x14ac:dyDescent="0.25">
      <c r="B413" s="161"/>
      <c r="C413" s="162"/>
      <c r="D413" s="163"/>
      <c r="E413" s="163"/>
      <c r="F413" s="163"/>
      <c r="G413" s="163"/>
      <c r="H413" s="163"/>
      <c r="I413" s="163"/>
      <c r="J413" s="163"/>
      <c r="K413" s="163"/>
      <c r="L413" s="163"/>
      <c r="M413" s="164"/>
      <c r="N413" s="165"/>
    </row>
    <row r="414" spans="2:15" x14ac:dyDescent="0.25">
      <c r="B414" s="35" t="s">
        <v>20</v>
      </c>
      <c r="C414" s="37" t="s">
        <v>3</v>
      </c>
      <c r="D414" s="38"/>
      <c r="E414" s="38"/>
      <c r="F414" s="38"/>
      <c r="G414" s="38"/>
      <c r="H414" s="38"/>
      <c r="I414" s="38"/>
      <c r="J414" s="38"/>
      <c r="K414" s="38"/>
      <c r="L414" s="38"/>
      <c r="M414" s="39"/>
      <c r="N414" s="146"/>
    </row>
    <row r="415" spans="2:15" x14ac:dyDescent="0.25">
      <c r="B415" s="40" t="str">
        <f>[1]ORÇ!B388</f>
        <v>SINAPI</v>
      </c>
      <c r="C415" s="41"/>
      <c r="D415" s="42" t="s">
        <v>203</v>
      </c>
      <c r="E415" s="43"/>
      <c r="F415" s="43"/>
      <c r="G415" s="43"/>
      <c r="H415" s="43"/>
      <c r="I415" s="43"/>
      <c r="J415" s="43"/>
      <c r="K415" s="43"/>
      <c r="L415" s="44"/>
      <c r="M415" s="45" t="s">
        <v>5</v>
      </c>
      <c r="N415" s="46" t="s">
        <v>6</v>
      </c>
    </row>
    <row r="416" spans="2:15" x14ac:dyDescent="0.25">
      <c r="B416" s="37" t="s">
        <v>204</v>
      </c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9"/>
      <c r="O416" s="166"/>
    </row>
    <row r="417" spans="2:14" x14ac:dyDescent="0.25">
      <c r="B417" s="48" t="s">
        <v>8</v>
      </c>
      <c r="C417" s="147" t="s">
        <v>9</v>
      </c>
      <c r="D417" s="49"/>
      <c r="E417" s="50"/>
      <c r="F417" s="50"/>
      <c r="G417" s="50" t="s">
        <v>10</v>
      </c>
      <c r="H417" s="50"/>
      <c r="I417" s="50"/>
      <c r="J417" s="51"/>
      <c r="K417" s="52" t="s">
        <v>11</v>
      </c>
      <c r="L417" s="52" t="s">
        <v>12</v>
      </c>
      <c r="M417" s="45" t="s">
        <v>13</v>
      </c>
      <c r="N417" s="45" t="s">
        <v>14</v>
      </c>
    </row>
    <row r="418" spans="2:14" x14ac:dyDescent="0.25">
      <c r="B418" s="148" t="s">
        <v>15</v>
      </c>
      <c r="C418" s="92">
        <v>88242</v>
      </c>
      <c r="D418" s="155" t="s">
        <v>90</v>
      </c>
      <c r="E418" s="156"/>
      <c r="F418" s="156"/>
      <c r="G418" s="156"/>
      <c r="H418" s="156"/>
      <c r="I418" s="156"/>
      <c r="J418" s="157"/>
      <c r="K418" s="89" t="s">
        <v>17</v>
      </c>
      <c r="L418" s="93">
        <v>0.2</v>
      </c>
      <c r="M418" s="158">
        <v>17.13</v>
      </c>
      <c r="N418" s="62">
        <f t="shared" ref="N418:N419" si="8">ROUND(L418*M418,2)</f>
        <v>3.43</v>
      </c>
    </row>
    <row r="419" spans="2:14" x14ac:dyDescent="0.25">
      <c r="B419" s="85" t="s">
        <v>26</v>
      </c>
      <c r="C419" s="86">
        <v>37556</v>
      </c>
      <c r="D419" s="103" t="s">
        <v>203</v>
      </c>
      <c r="E419" s="87"/>
      <c r="F419" s="87"/>
      <c r="G419" s="87"/>
      <c r="H419" s="87"/>
      <c r="I419" s="87"/>
      <c r="J419" s="88"/>
      <c r="K419" s="95" t="s">
        <v>75</v>
      </c>
      <c r="L419" s="93">
        <v>1</v>
      </c>
      <c r="M419" s="159">
        <v>19.079999999999998</v>
      </c>
      <c r="N419" s="62">
        <f t="shared" si="8"/>
        <v>19.079999999999998</v>
      </c>
    </row>
    <row r="420" spans="2:14" x14ac:dyDescent="0.25">
      <c r="B420" s="153"/>
      <c r="C420" s="160"/>
      <c r="D420" s="37" t="s">
        <v>34</v>
      </c>
      <c r="E420" s="38"/>
      <c r="F420" s="38"/>
      <c r="G420" s="38"/>
      <c r="H420" s="38"/>
      <c r="I420" s="38"/>
      <c r="J420" s="38"/>
      <c r="K420" s="73"/>
      <c r="L420" s="74"/>
      <c r="M420" s="75"/>
      <c r="N420" s="76">
        <f>SUM(N418:N419)</f>
        <v>22.509999999999998</v>
      </c>
    </row>
    <row r="421" spans="2:14" x14ac:dyDescent="0.25">
      <c r="B421" s="25"/>
      <c r="C421" s="25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</row>
    <row r="422" spans="2:14" x14ac:dyDescent="0.25">
      <c r="B422" s="35" t="s">
        <v>2</v>
      </c>
      <c r="C422" s="37" t="s">
        <v>3</v>
      </c>
      <c r="D422" s="38"/>
      <c r="E422" s="38"/>
      <c r="F422" s="38"/>
      <c r="G422" s="38"/>
      <c r="H422" s="38"/>
      <c r="I422" s="38"/>
      <c r="J422" s="38"/>
      <c r="K422" s="38"/>
      <c r="L422" s="38"/>
      <c r="M422" s="39"/>
      <c r="N422" s="146"/>
    </row>
    <row r="423" spans="2:14" x14ac:dyDescent="0.25">
      <c r="B423" s="131" t="str">
        <f>[1]ORÇ!B342</f>
        <v>COMPOSIÇÃO 40</v>
      </c>
      <c r="C423" s="132"/>
      <c r="D423" s="133" t="s">
        <v>205</v>
      </c>
      <c r="E423" s="134"/>
      <c r="F423" s="134"/>
      <c r="G423" s="134"/>
      <c r="H423" s="134"/>
      <c r="I423" s="134"/>
      <c r="J423" s="134"/>
      <c r="K423" s="134"/>
      <c r="L423" s="135"/>
      <c r="M423" s="45" t="s">
        <v>5</v>
      </c>
      <c r="N423" s="136" t="s">
        <v>6</v>
      </c>
    </row>
    <row r="424" spans="2:14" x14ac:dyDescent="0.25">
      <c r="B424" s="37" t="s">
        <v>206</v>
      </c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9"/>
    </row>
    <row r="425" spans="2:14" x14ac:dyDescent="0.25">
      <c r="B425" s="48" t="s">
        <v>8</v>
      </c>
      <c r="C425" s="147" t="s">
        <v>9</v>
      </c>
      <c r="D425" s="49"/>
      <c r="E425" s="50"/>
      <c r="F425" s="50"/>
      <c r="G425" s="50" t="s">
        <v>10</v>
      </c>
      <c r="H425" s="50"/>
      <c r="I425" s="50"/>
      <c r="J425" s="51"/>
      <c r="K425" s="52" t="s">
        <v>11</v>
      </c>
      <c r="L425" s="52" t="s">
        <v>12</v>
      </c>
      <c r="M425" s="45" t="s">
        <v>13</v>
      </c>
      <c r="N425" s="137" t="s">
        <v>14</v>
      </c>
    </row>
    <row r="426" spans="2:14" x14ac:dyDescent="0.25">
      <c r="B426" s="86" t="s">
        <v>26</v>
      </c>
      <c r="C426" s="92">
        <v>37104</v>
      </c>
      <c r="D426" s="149" t="s">
        <v>207</v>
      </c>
      <c r="E426" s="150"/>
      <c r="F426" s="150"/>
      <c r="G426" s="150"/>
      <c r="H426" s="150"/>
      <c r="I426" s="150"/>
      <c r="J426" s="151"/>
      <c r="K426" s="89" t="s">
        <v>75</v>
      </c>
      <c r="L426" s="93">
        <v>1</v>
      </c>
      <c r="M426" s="152">
        <v>1276.26</v>
      </c>
      <c r="N426" s="62">
        <f t="shared" ref="N426:N429" si="9">ROUND(L426*M426,2)</f>
        <v>1276.26</v>
      </c>
    </row>
    <row r="427" spans="2:14" x14ac:dyDescent="0.25">
      <c r="B427" s="86" t="s">
        <v>15</v>
      </c>
      <c r="C427" s="92">
        <v>102591</v>
      </c>
      <c r="D427" s="149" t="s">
        <v>208</v>
      </c>
      <c r="E427" s="150"/>
      <c r="F427" s="150"/>
      <c r="G427" s="150"/>
      <c r="H427" s="150"/>
      <c r="I427" s="150"/>
      <c r="J427" s="151"/>
      <c r="K427" s="89" t="s">
        <v>75</v>
      </c>
      <c r="L427" s="93">
        <v>4</v>
      </c>
      <c r="M427" s="152">
        <v>3.22</v>
      </c>
      <c r="N427" s="62">
        <f t="shared" si="9"/>
        <v>12.88</v>
      </c>
    </row>
    <row r="428" spans="2:14" x14ac:dyDescent="0.25">
      <c r="B428" s="86" t="s">
        <v>15</v>
      </c>
      <c r="C428" s="92">
        <v>88248</v>
      </c>
      <c r="D428" s="149" t="s">
        <v>209</v>
      </c>
      <c r="E428" s="150"/>
      <c r="F428" s="150"/>
      <c r="G428" s="150"/>
      <c r="H428" s="150"/>
      <c r="I428" s="150"/>
      <c r="J428" s="151"/>
      <c r="K428" s="89" t="s">
        <v>17</v>
      </c>
      <c r="L428" s="93">
        <v>0.25</v>
      </c>
      <c r="M428" s="152">
        <v>16.989999999999998</v>
      </c>
      <c r="N428" s="62">
        <f t="shared" si="9"/>
        <v>4.25</v>
      </c>
    </row>
    <row r="429" spans="2:14" x14ac:dyDescent="0.25">
      <c r="B429" s="86" t="s">
        <v>15</v>
      </c>
      <c r="C429" s="92">
        <v>88267</v>
      </c>
      <c r="D429" s="149" t="s">
        <v>210</v>
      </c>
      <c r="E429" s="150"/>
      <c r="F429" s="150"/>
      <c r="G429" s="150"/>
      <c r="H429" s="150"/>
      <c r="I429" s="150"/>
      <c r="J429" s="151"/>
      <c r="K429" s="89" t="s">
        <v>17</v>
      </c>
      <c r="L429" s="93">
        <v>0.25</v>
      </c>
      <c r="M429" s="152">
        <v>20.7</v>
      </c>
      <c r="N429" s="62">
        <f t="shared" si="9"/>
        <v>5.18</v>
      </c>
    </row>
    <row r="430" spans="2:14" x14ac:dyDescent="0.25">
      <c r="B430" s="153"/>
      <c r="C430" s="154"/>
      <c r="D430" s="38" t="s">
        <v>34</v>
      </c>
      <c r="E430" s="38"/>
      <c r="F430" s="38"/>
      <c r="G430" s="38"/>
      <c r="H430" s="38"/>
      <c r="I430" s="38"/>
      <c r="J430" s="38"/>
      <c r="K430" s="73"/>
      <c r="L430" s="74"/>
      <c r="M430" s="75"/>
      <c r="N430" s="76">
        <f>SUM(N426:N429)</f>
        <v>1298.5700000000002</v>
      </c>
    </row>
    <row r="431" spans="2:14" x14ac:dyDescent="0.25">
      <c r="B431" s="25"/>
      <c r="C431" s="25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</row>
    <row r="432" spans="2:14" x14ac:dyDescent="0.25">
      <c r="B432" s="35" t="s">
        <v>2</v>
      </c>
      <c r="C432" s="37" t="s">
        <v>3</v>
      </c>
      <c r="D432" s="38"/>
      <c r="E432" s="38"/>
      <c r="F432" s="38"/>
      <c r="G432" s="38"/>
      <c r="H432" s="38"/>
      <c r="I432" s="38"/>
      <c r="J432" s="38"/>
      <c r="K432" s="38"/>
      <c r="L432" s="38"/>
      <c r="M432" s="39"/>
      <c r="N432" s="146"/>
    </row>
    <row r="433" spans="2:14" x14ac:dyDescent="0.25">
      <c r="B433" s="131" t="str">
        <f>[1]ORÇ!B420</f>
        <v>COMPOSIÇÃO 47</v>
      </c>
      <c r="C433" s="132"/>
      <c r="D433" s="133" t="s">
        <v>211</v>
      </c>
      <c r="E433" s="134"/>
      <c r="F433" s="134"/>
      <c r="G433" s="134"/>
      <c r="H433" s="134"/>
      <c r="I433" s="134"/>
      <c r="J433" s="134"/>
      <c r="K433" s="134"/>
      <c r="L433" s="135"/>
      <c r="M433" s="45" t="s">
        <v>5</v>
      </c>
      <c r="N433" s="136" t="s">
        <v>6</v>
      </c>
    </row>
    <row r="434" spans="2:14" x14ac:dyDescent="0.25">
      <c r="B434" s="37" t="s">
        <v>212</v>
      </c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9"/>
    </row>
    <row r="435" spans="2:14" x14ac:dyDescent="0.25">
      <c r="B435" s="48" t="s">
        <v>8</v>
      </c>
      <c r="C435" s="147" t="s">
        <v>9</v>
      </c>
      <c r="D435" s="49"/>
      <c r="E435" s="50"/>
      <c r="F435" s="50"/>
      <c r="G435" s="50" t="s">
        <v>10</v>
      </c>
      <c r="H435" s="50"/>
      <c r="I435" s="50"/>
      <c r="J435" s="51"/>
      <c r="K435" s="52" t="s">
        <v>11</v>
      </c>
      <c r="L435" s="52" t="s">
        <v>12</v>
      </c>
      <c r="M435" s="45" t="s">
        <v>13</v>
      </c>
      <c r="N435" s="45" t="s">
        <v>14</v>
      </c>
    </row>
    <row r="436" spans="2:14" x14ac:dyDescent="0.25">
      <c r="B436" s="86" t="s">
        <v>26</v>
      </c>
      <c r="C436" s="92">
        <v>4823</v>
      </c>
      <c r="D436" s="103" t="s">
        <v>213</v>
      </c>
      <c r="E436" s="87"/>
      <c r="F436" s="87"/>
      <c r="G436" s="87"/>
      <c r="H436" s="87"/>
      <c r="I436" s="87"/>
      <c r="J436" s="88"/>
      <c r="K436" s="89" t="s">
        <v>31</v>
      </c>
      <c r="L436" s="93">
        <f>ROUND((0.5228*1.9),2)</f>
        <v>0.99</v>
      </c>
      <c r="M436" s="152">
        <v>49.68</v>
      </c>
      <c r="N436" s="62">
        <f t="shared" ref="N436:N445" si="10">ROUND(L436*M436,2)</f>
        <v>49.18</v>
      </c>
    </row>
    <row r="437" spans="2:14" x14ac:dyDescent="0.25">
      <c r="B437" s="86" t="s">
        <v>26</v>
      </c>
      <c r="C437" s="92">
        <v>7568</v>
      </c>
      <c r="D437" s="103" t="s">
        <v>214</v>
      </c>
      <c r="E437" s="87"/>
      <c r="F437" s="87"/>
      <c r="G437" s="87"/>
      <c r="H437" s="87"/>
      <c r="I437" s="87"/>
      <c r="J437" s="88"/>
      <c r="K437" s="89" t="s">
        <v>75</v>
      </c>
      <c r="L437" s="93">
        <v>9</v>
      </c>
      <c r="M437" s="152">
        <v>0.92</v>
      </c>
      <c r="N437" s="62">
        <f t="shared" si="10"/>
        <v>8.2799999999999994</v>
      </c>
    </row>
    <row r="438" spans="2:14" x14ac:dyDescent="0.25">
      <c r="B438" s="86" t="s">
        <v>26</v>
      </c>
      <c r="C438" s="92">
        <v>11795</v>
      </c>
      <c r="D438" s="103" t="s">
        <v>215</v>
      </c>
      <c r="E438" s="87"/>
      <c r="F438" s="87"/>
      <c r="G438" s="87"/>
      <c r="H438" s="87"/>
      <c r="I438" s="87"/>
      <c r="J438" s="88"/>
      <c r="K438" s="89" t="s">
        <v>28</v>
      </c>
      <c r="L438" s="93">
        <f>4*0.6</f>
        <v>2.4</v>
      </c>
      <c r="M438" s="152">
        <v>475.47</v>
      </c>
      <c r="N438" s="62">
        <f t="shared" si="10"/>
        <v>1141.1300000000001</v>
      </c>
    </row>
    <row r="439" spans="2:14" x14ac:dyDescent="0.25">
      <c r="B439" s="86" t="s">
        <v>26</v>
      </c>
      <c r="C439" s="92">
        <v>37329</v>
      </c>
      <c r="D439" s="103" t="s">
        <v>216</v>
      </c>
      <c r="E439" s="87"/>
      <c r="F439" s="87"/>
      <c r="G439" s="87"/>
      <c r="H439" s="87"/>
      <c r="I439" s="87"/>
      <c r="J439" s="88"/>
      <c r="K439" s="89" t="s">
        <v>31</v>
      </c>
      <c r="L439" s="93">
        <f>ROUND((0.0211*1.9),2)</f>
        <v>0.04</v>
      </c>
      <c r="M439" s="152">
        <v>86.57</v>
      </c>
      <c r="N439" s="62">
        <f t="shared" si="10"/>
        <v>3.46</v>
      </c>
    </row>
    <row r="440" spans="2:14" x14ac:dyDescent="0.25">
      <c r="B440" s="86" t="s">
        <v>15</v>
      </c>
      <c r="C440" s="92">
        <v>86937</v>
      </c>
      <c r="D440" s="103" t="s">
        <v>217</v>
      </c>
      <c r="E440" s="87"/>
      <c r="F440" s="87"/>
      <c r="G440" s="87"/>
      <c r="H440" s="87"/>
      <c r="I440" s="87"/>
      <c r="J440" s="88"/>
      <c r="K440" s="89" t="s">
        <v>75</v>
      </c>
      <c r="L440" s="93">
        <v>4</v>
      </c>
      <c r="M440" s="152">
        <v>206.16</v>
      </c>
      <c r="N440" s="62">
        <f t="shared" si="10"/>
        <v>824.64</v>
      </c>
    </row>
    <row r="441" spans="2:14" x14ac:dyDescent="0.25">
      <c r="B441" s="86" t="s">
        <v>15</v>
      </c>
      <c r="C441" s="92">
        <v>86885</v>
      </c>
      <c r="D441" s="103" t="s">
        <v>218</v>
      </c>
      <c r="E441" s="87"/>
      <c r="F441" s="87"/>
      <c r="G441" s="87"/>
      <c r="H441" s="87"/>
      <c r="I441" s="87"/>
      <c r="J441" s="88"/>
      <c r="K441" s="89" t="s">
        <v>75</v>
      </c>
      <c r="L441" s="93">
        <v>4</v>
      </c>
      <c r="M441" s="152">
        <v>11.42</v>
      </c>
      <c r="N441" s="62">
        <f t="shared" si="10"/>
        <v>45.68</v>
      </c>
    </row>
    <row r="442" spans="2:14" x14ac:dyDescent="0.25">
      <c r="B442" s="86" t="s">
        <v>26</v>
      </c>
      <c r="C442" s="92">
        <v>38605</v>
      </c>
      <c r="D442" s="103" t="s">
        <v>219</v>
      </c>
      <c r="E442" s="87"/>
      <c r="F442" s="87"/>
      <c r="G442" s="87"/>
      <c r="H442" s="87"/>
      <c r="I442" s="87"/>
      <c r="J442" s="88"/>
      <c r="K442" s="89" t="s">
        <v>75</v>
      </c>
      <c r="L442" s="93">
        <v>4</v>
      </c>
      <c r="M442" s="152">
        <v>146.6</v>
      </c>
      <c r="N442" s="62">
        <f t="shared" si="10"/>
        <v>586.4</v>
      </c>
    </row>
    <row r="443" spans="2:14" x14ac:dyDescent="0.25">
      <c r="B443" s="86" t="s">
        <v>26</v>
      </c>
      <c r="C443" s="92">
        <v>38633</v>
      </c>
      <c r="D443" s="103" t="s">
        <v>220</v>
      </c>
      <c r="E443" s="87"/>
      <c r="F443" s="87"/>
      <c r="G443" s="87"/>
      <c r="H443" s="87"/>
      <c r="I443" s="87"/>
      <c r="J443" s="88"/>
      <c r="K443" s="89" t="s">
        <v>75</v>
      </c>
      <c r="L443" s="93">
        <v>4</v>
      </c>
      <c r="M443" s="152">
        <v>21.99</v>
      </c>
      <c r="N443" s="62">
        <f t="shared" si="10"/>
        <v>87.96</v>
      </c>
    </row>
    <row r="444" spans="2:14" x14ac:dyDescent="0.25">
      <c r="B444" s="86" t="s">
        <v>15</v>
      </c>
      <c r="C444" s="92">
        <v>88274</v>
      </c>
      <c r="D444" s="103" t="s">
        <v>221</v>
      </c>
      <c r="E444" s="87"/>
      <c r="F444" s="87"/>
      <c r="G444" s="87"/>
      <c r="H444" s="87"/>
      <c r="I444" s="87"/>
      <c r="J444" s="88"/>
      <c r="K444" s="89" t="s">
        <v>17</v>
      </c>
      <c r="L444" s="93">
        <f>ROUND((1.921*1.9),2)</f>
        <v>3.65</v>
      </c>
      <c r="M444" s="152">
        <v>21.91</v>
      </c>
      <c r="N444" s="62">
        <f t="shared" si="10"/>
        <v>79.97</v>
      </c>
    </row>
    <row r="445" spans="2:14" x14ac:dyDescent="0.25">
      <c r="B445" s="86" t="s">
        <v>15</v>
      </c>
      <c r="C445" s="92">
        <v>88316</v>
      </c>
      <c r="D445" s="103" t="s">
        <v>33</v>
      </c>
      <c r="E445" s="87"/>
      <c r="F445" s="87"/>
      <c r="G445" s="87"/>
      <c r="H445" s="87"/>
      <c r="I445" s="87"/>
      <c r="J445" s="88"/>
      <c r="K445" s="89" t="s">
        <v>17</v>
      </c>
      <c r="L445" s="93">
        <f>ROUND((0.9811*1.9),2)</f>
        <v>1.86</v>
      </c>
      <c r="M445" s="152">
        <v>17.09</v>
      </c>
      <c r="N445" s="62">
        <f t="shared" si="10"/>
        <v>31.79</v>
      </c>
    </row>
    <row r="446" spans="2:14" x14ac:dyDescent="0.25">
      <c r="B446" s="153"/>
      <c r="C446" s="154"/>
      <c r="D446" s="38" t="s">
        <v>34</v>
      </c>
      <c r="E446" s="38"/>
      <c r="F446" s="38"/>
      <c r="G446" s="38"/>
      <c r="H446" s="38"/>
      <c r="I446" s="38"/>
      <c r="J446" s="38"/>
      <c r="K446" s="73"/>
      <c r="L446" s="74"/>
      <c r="M446" s="75"/>
      <c r="N446" s="76">
        <f>SUM(N436:N445)</f>
        <v>2858.49</v>
      </c>
    </row>
    <row r="447" spans="2:14" x14ac:dyDescent="0.25">
      <c r="B447" s="25"/>
      <c r="C447" s="25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</row>
    <row r="448" spans="2:14" x14ac:dyDescent="0.25">
      <c r="B448" s="35" t="s">
        <v>20</v>
      </c>
      <c r="C448" s="37" t="s">
        <v>3</v>
      </c>
      <c r="D448" s="38"/>
      <c r="E448" s="38"/>
      <c r="F448" s="38"/>
      <c r="G448" s="38"/>
      <c r="H448" s="38"/>
      <c r="I448" s="38"/>
      <c r="J448" s="38"/>
      <c r="K448" s="38"/>
      <c r="L448" s="38"/>
      <c r="M448" s="39"/>
      <c r="N448" s="146"/>
    </row>
    <row r="449" spans="2:16" x14ac:dyDescent="0.25">
      <c r="B449" s="131" t="str">
        <f>[1]ORÇ!B421</f>
        <v>COMPOSIÇÃO 48</v>
      </c>
      <c r="C449" s="132"/>
      <c r="D449" s="133" t="s">
        <v>222</v>
      </c>
      <c r="E449" s="134"/>
      <c r="F449" s="134"/>
      <c r="G449" s="134"/>
      <c r="H449" s="134"/>
      <c r="I449" s="134"/>
      <c r="J449" s="134"/>
      <c r="K449" s="134"/>
      <c r="L449" s="135"/>
      <c r="M449" s="45" t="s">
        <v>5</v>
      </c>
      <c r="N449" s="136" t="s">
        <v>6</v>
      </c>
    </row>
    <row r="450" spans="2:16" x14ac:dyDescent="0.25">
      <c r="B450" s="37" t="s">
        <v>223</v>
      </c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9"/>
    </row>
    <row r="451" spans="2:16" x14ac:dyDescent="0.25">
      <c r="B451" s="48" t="s">
        <v>8</v>
      </c>
      <c r="C451" s="147" t="s">
        <v>9</v>
      </c>
      <c r="D451" s="49"/>
      <c r="E451" s="50"/>
      <c r="F451" s="50"/>
      <c r="G451" s="50" t="s">
        <v>10</v>
      </c>
      <c r="H451" s="50"/>
      <c r="I451" s="50"/>
      <c r="J451" s="51"/>
      <c r="K451" s="52" t="s">
        <v>11</v>
      </c>
      <c r="L451" s="52" t="s">
        <v>12</v>
      </c>
      <c r="M451" s="45" t="s">
        <v>13</v>
      </c>
      <c r="N451" s="137" t="s">
        <v>14</v>
      </c>
    </row>
    <row r="452" spans="2:16" x14ac:dyDescent="0.25">
      <c r="B452" s="86" t="s">
        <v>15</v>
      </c>
      <c r="C452" s="167">
        <v>86884</v>
      </c>
      <c r="D452" s="103" t="s">
        <v>224</v>
      </c>
      <c r="E452" s="87"/>
      <c r="F452" s="87"/>
      <c r="G452" s="87"/>
      <c r="H452" s="87"/>
      <c r="I452" s="87"/>
      <c r="J452" s="88"/>
      <c r="K452" s="89" t="s">
        <v>75</v>
      </c>
      <c r="L452" s="93">
        <v>1</v>
      </c>
      <c r="M452" s="168">
        <v>8.5399999999999991</v>
      </c>
      <c r="N452" s="62">
        <f t="shared" ref="N452:N464" si="11">ROUND(L452*M452,2)</f>
        <v>8.5399999999999991</v>
      </c>
      <c r="O452" s="26"/>
      <c r="P452" s="26"/>
    </row>
    <row r="453" spans="2:16" x14ac:dyDescent="0.25">
      <c r="B453" s="86" t="s">
        <v>15</v>
      </c>
      <c r="C453" s="167">
        <v>103328</v>
      </c>
      <c r="D453" s="103" t="s">
        <v>225</v>
      </c>
      <c r="E453" s="87"/>
      <c r="F453" s="87"/>
      <c r="G453" s="87"/>
      <c r="H453" s="87"/>
      <c r="I453" s="87"/>
      <c r="J453" s="88"/>
      <c r="K453" s="89" t="s">
        <v>28</v>
      </c>
      <c r="L453" s="89">
        <f>ROUND((3.2*0.9),2)</f>
        <v>2.88</v>
      </c>
      <c r="M453" s="168">
        <v>80.45</v>
      </c>
      <c r="N453" s="62">
        <f t="shared" si="11"/>
        <v>231.7</v>
      </c>
      <c r="O453" s="26"/>
      <c r="P453" s="26"/>
    </row>
    <row r="454" spans="2:16" x14ac:dyDescent="0.25">
      <c r="B454" s="86" t="s">
        <v>15</v>
      </c>
      <c r="C454" s="167">
        <v>87878</v>
      </c>
      <c r="D454" s="103" t="s">
        <v>226</v>
      </c>
      <c r="E454" s="87"/>
      <c r="F454" s="87"/>
      <c r="G454" s="87"/>
      <c r="H454" s="87"/>
      <c r="I454" s="87"/>
      <c r="J454" s="88"/>
      <c r="K454" s="89" t="s">
        <v>28</v>
      </c>
      <c r="L454" s="89">
        <f>ROUND((2*L453)+(6*0.15*0.9),2)</f>
        <v>6.57</v>
      </c>
      <c r="M454" s="168">
        <v>4.46</v>
      </c>
      <c r="N454" s="62">
        <f t="shared" si="11"/>
        <v>29.3</v>
      </c>
      <c r="O454" s="26"/>
      <c r="P454" s="26"/>
    </row>
    <row r="455" spans="2:16" x14ac:dyDescent="0.25">
      <c r="B455" s="86" t="s">
        <v>15</v>
      </c>
      <c r="C455" s="167">
        <v>87546</v>
      </c>
      <c r="D455" s="103" t="s">
        <v>227</v>
      </c>
      <c r="E455" s="87"/>
      <c r="F455" s="87"/>
      <c r="G455" s="87"/>
      <c r="H455" s="87"/>
      <c r="I455" s="87"/>
      <c r="J455" s="88"/>
      <c r="K455" s="89" t="s">
        <v>28</v>
      </c>
      <c r="L455" s="89">
        <f>L454</f>
        <v>6.57</v>
      </c>
      <c r="M455" s="168">
        <v>30</v>
      </c>
      <c r="N455" s="62">
        <f t="shared" si="11"/>
        <v>197.1</v>
      </c>
      <c r="O455" s="26"/>
      <c r="P455" s="26"/>
    </row>
    <row r="456" spans="2:16" x14ac:dyDescent="0.25">
      <c r="B456" s="86" t="s">
        <v>15</v>
      </c>
      <c r="C456" s="167">
        <v>87265</v>
      </c>
      <c r="D456" s="103" t="s">
        <v>228</v>
      </c>
      <c r="E456" s="87"/>
      <c r="F456" s="87"/>
      <c r="G456" s="87"/>
      <c r="H456" s="87"/>
      <c r="I456" s="87"/>
      <c r="J456" s="88"/>
      <c r="K456" s="89" t="s">
        <v>28</v>
      </c>
      <c r="L456" s="89">
        <f>ROUND((L455+(0.6*1.3)+(0.07*1.3)),2)</f>
        <v>7.44</v>
      </c>
      <c r="M456" s="168">
        <v>62.36</v>
      </c>
      <c r="N456" s="62">
        <f t="shared" si="11"/>
        <v>463.96</v>
      </c>
      <c r="O456" s="26"/>
      <c r="P456" s="26"/>
    </row>
    <row r="457" spans="2:16" x14ac:dyDescent="0.25">
      <c r="B457" s="86" t="s">
        <v>15</v>
      </c>
      <c r="C457" s="167">
        <v>86906</v>
      </c>
      <c r="D457" s="169" t="s">
        <v>229</v>
      </c>
      <c r="E457" s="170"/>
      <c r="F457" s="170"/>
      <c r="G457" s="170"/>
      <c r="H457" s="170"/>
      <c r="I457" s="170"/>
      <c r="J457" s="171"/>
      <c r="K457" s="89" t="s">
        <v>75</v>
      </c>
      <c r="L457" s="93">
        <v>1</v>
      </c>
      <c r="M457" s="168">
        <v>67.06</v>
      </c>
      <c r="N457" s="62">
        <f t="shared" si="11"/>
        <v>67.06</v>
      </c>
      <c r="O457" s="26"/>
      <c r="P457" s="26"/>
    </row>
    <row r="458" spans="2:16" x14ac:dyDescent="0.25">
      <c r="B458" s="86" t="s">
        <v>15</v>
      </c>
      <c r="C458" s="167">
        <v>86883</v>
      </c>
      <c r="D458" s="169" t="s">
        <v>230</v>
      </c>
      <c r="E458" s="170"/>
      <c r="F458" s="170"/>
      <c r="G458" s="170"/>
      <c r="H458" s="170"/>
      <c r="I458" s="170"/>
      <c r="J458" s="171"/>
      <c r="K458" s="89" t="s">
        <v>75</v>
      </c>
      <c r="L458" s="93">
        <v>1</v>
      </c>
      <c r="M458" s="168">
        <v>12.3</v>
      </c>
      <c r="N458" s="62">
        <f t="shared" si="11"/>
        <v>12.3</v>
      </c>
      <c r="O458" s="26"/>
      <c r="P458" s="26"/>
    </row>
    <row r="459" spans="2:16" x14ac:dyDescent="0.25">
      <c r="B459" s="86" t="s">
        <v>26</v>
      </c>
      <c r="C459" s="167" t="s">
        <v>231</v>
      </c>
      <c r="D459" s="103" t="s">
        <v>232</v>
      </c>
      <c r="E459" s="87"/>
      <c r="F459" s="87"/>
      <c r="G459" s="87"/>
      <c r="H459" s="87"/>
      <c r="I459" s="87"/>
      <c r="J459" s="88"/>
      <c r="K459" s="89" t="s">
        <v>75</v>
      </c>
      <c r="L459" s="93">
        <v>1</v>
      </c>
      <c r="M459" s="168">
        <v>117.48</v>
      </c>
      <c r="N459" s="62">
        <f t="shared" si="11"/>
        <v>117.48</v>
      </c>
      <c r="O459" s="26"/>
      <c r="P459" s="26"/>
    </row>
    <row r="460" spans="2:16" x14ac:dyDescent="0.25">
      <c r="B460" s="86" t="s">
        <v>26</v>
      </c>
      <c r="C460" s="167" t="s">
        <v>233</v>
      </c>
      <c r="D460" s="103" t="s">
        <v>215</v>
      </c>
      <c r="E460" s="87"/>
      <c r="F460" s="87"/>
      <c r="G460" s="87"/>
      <c r="H460" s="87"/>
      <c r="I460" s="87"/>
      <c r="J460" s="88"/>
      <c r="K460" s="89" t="s">
        <v>64</v>
      </c>
      <c r="L460" s="93">
        <f>ROUND(((1.55+2.3)*0.5)+(2.35*0.6),2)</f>
        <v>3.34</v>
      </c>
      <c r="M460" s="168">
        <v>475.47</v>
      </c>
      <c r="N460" s="62">
        <f t="shared" si="11"/>
        <v>1588.07</v>
      </c>
      <c r="O460" s="26"/>
      <c r="P460" s="26"/>
    </row>
    <row r="461" spans="2:16" x14ac:dyDescent="0.25">
      <c r="B461" s="86" t="s">
        <v>26</v>
      </c>
      <c r="C461" s="92" t="s">
        <v>234</v>
      </c>
      <c r="D461" s="103" t="s">
        <v>235</v>
      </c>
      <c r="E461" s="87"/>
      <c r="F461" s="87"/>
      <c r="G461" s="87"/>
      <c r="H461" s="87"/>
      <c r="I461" s="87"/>
      <c r="J461" s="88"/>
      <c r="K461" s="89" t="s">
        <v>48</v>
      </c>
      <c r="L461" s="93">
        <f>ROUND(1.55+3.35+2.3,2)</f>
        <v>7.2</v>
      </c>
      <c r="M461" s="172">
        <v>46.88</v>
      </c>
      <c r="N461" s="62">
        <f t="shared" si="11"/>
        <v>337.54</v>
      </c>
      <c r="O461" s="26"/>
      <c r="P461" s="26"/>
    </row>
    <row r="462" spans="2:16" x14ac:dyDescent="0.25">
      <c r="B462" s="86" t="s">
        <v>26</v>
      </c>
      <c r="C462" s="86" t="s">
        <v>236</v>
      </c>
      <c r="D462" s="103" t="s">
        <v>213</v>
      </c>
      <c r="E462" s="87"/>
      <c r="F462" s="87"/>
      <c r="G462" s="87"/>
      <c r="H462" s="87"/>
      <c r="I462" s="87"/>
      <c r="J462" s="88"/>
      <c r="K462" s="89" t="s">
        <v>31</v>
      </c>
      <c r="L462" s="93">
        <v>0.68</v>
      </c>
      <c r="M462" s="152">
        <v>49.68</v>
      </c>
      <c r="N462" s="62">
        <f t="shared" si="11"/>
        <v>33.78</v>
      </c>
      <c r="O462" s="26"/>
      <c r="P462" s="26"/>
    </row>
    <row r="463" spans="2:16" x14ac:dyDescent="0.25">
      <c r="B463" s="86" t="s">
        <v>15</v>
      </c>
      <c r="C463" s="92">
        <v>88316</v>
      </c>
      <c r="D463" s="103" t="s">
        <v>33</v>
      </c>
      <c r="E463" s="87"/>
      <c r="F463" s="87"/>
      <c r="G463" s="87"/>
      <c r="H463" s="87"/>
      <c r="I463" s="87"/>
      <c r="J463" s="88"/>
      <c r="K463" s="89" t="s">
        <v>17</v>
      </c>
      <c r="L463" s="93">
        <v>1.5</v>
      </c>
      <c r="M463" s="152">
        <v>17.09</v>
      </c>
      <c r="N463" s="62">
        <f t="shared" si="11"/>
        <v>25.64</v>
      </c>
    </row>
    <row r="464" spans="2:16" x14ac:dyDescent="0.25">
      <c r="B464" s="173" t="s">
        <v>15</v>
      </c>
      <c r="C464" s="92" t="s">
        <v>237</v>
      </c>
      <c r="D464" s="103" t="s">
        <v>32</v>
      </c>
      <c r="E464" s="87"/>
      <c r="F464" s="87"/>
      <c r="G464" s="87"/>
      <c r="H464" s="87"/>
      <c r="I464" s="87"/>
      <c r="J464" s="88"/>
      <c r="K464" s="89" t="s">
        <v>17</v>
      </c>
      <c r="L464" s="93">
        <v>1.2</v>
      </c>
      <c r="M464" s="152">
        <v>21.31</v>
      </c>
      <c r="N464" s="62">
        <f t="shared" si="11"/>
        <v>25.57</v>
      </c>
    </row>
    <row r="465" spans="2:14" x14ac:dyDescent="0.25">
      <c r="B465" s="153"/>
      <c r="C465" s="160"/>
      <c r="D465" s="37" t="s">
        <v>34</v>
      </c>
      <c r="E465" s="38"/>
      <c r="F465" s="38"/>
      <c r="G465" s="38"/>
      <c r="H465" s="38"/>
      <c r="I465" s="38"/>
      <c r="J465" s="38"/>
      <c r="K465" s="73"/>
      <c r="L465" s="74"/>
      <c r="M465" s="75"/>
      <c r="N465" s="76">
        <f>ROUND((SUM(N452:N464)),2)</f>
        <v>3138.04</v>
      </c>
    </row>
    <row r="466" spans="2:14" x14ac:dyDescent="0.25">
      <c r="B466" s="25"/>
      <c r="C466" s="25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</row>
    <row r="467" spans="2:14" x14ac:dyDescent="0.25">
      <c r="B467" s="35" t="s">
        <v>2</v>
      </c>
      <c r="C467" s="37" t="s">
        <v>3</v>
      </c>
      <c r="D467" s="38"/>
      <c r="E467" s="38"/>
      <c r="F467" s="38"/>
      <c r="G467" s="38"/>
      <c r="H467" s="38"/>
      <c r="I467" s="38"/>
      <c r="J467" s="38"/>
      <c r="K467" s="38"/>
      <c r="L467" s="38"/>
      <c r="M467" s="39"/>
      <c r="N467" s="146"/>
    </row>
    <row r="468" spans="2:14" x14ac:dyDescent="0.25">
      <c r="B468" s="131" t="str">
        <f>[1]ORÇ!B422</f>
        <v>SEDOP</v>
      </c>
      <c r="C468" s="132"/>
      <c r="D468" s="133" t="s">
        <v>238</v>
      </c>
      <c r="E468" s="134"/>
      <c r="F468" s="134"/>
      <c r="G468" s="134"/>
      <c r="H468" s="134"/>
      <c r="I468" s="134"/>
      <c r="J468" s="134"/>
      <c r="K468" s="134"/>
      <c r="L468" s="135"/>
      <c r="M468" s="45" t="s">
        <v>5</v>
      </c>
      <c r="N468" s="136" t="s">
        <v>28</v>
      </c>
    </row>
    <row r="469" spans="2:14" x14ac:dyDescent="0.25">
      <c r="B469" s="37" t="s">
        <v>239</v>
      </c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9"/>
    </row>
    <row r="470" spans="2:14" x14ac:dyDescent="0.25">
      <c r="B470" s="48" t="s">
        <v>8</v>
      </c>
      <c r="C470" s="147" t="s">
        <v>9</v>
      </c>
      <c r="D470" s="49"/>
      <c r="E470" s="50"/>
      <c r="F470" s="50"/>
      <c r="G470" s="50" t="s">
        <v>10</v>
      </c>
      <c r="H470" s="50"/>
      <c r="I470" s="50"/>
      <c r="J470" s="51"/>
      <c r="K470" s="52" t="s">
        <v>11</v>
      </c>
      <c r="L470" s="52" t="s">
        <v>12</v>
      </c>
      <c r="M470" s="45" t="s">
        <v>13</v>
      </c>
      <c r="N470" s="45" t="s">
        <v>14</v>
      </c>
    </row>
    <row r="471" spans="2:14" x14ac:dyDescent="0.25">
      <c r="B471" s="86" t="s">
        <v>26</v>
      </c>
      <c r="C471" s="92">
        <v>4823</v>
      </c>
      <c r="D471" s="103" t="s">
        <v>213</v>
      </c>
      <c r="E471" s="87"/>
      <c r="F471" s="87"/>
      <c r="G471" s="87"/>
      <c r="H471" s="87"/>
      <c r="I471" s="87"/>
      <c r="J471" s="88"/>
      <c r="K471" s="89" t="s">
        <v>31</v>
      </c>
      <c r="L471" s="93">
        <v>0.39</v>
      </c>
      <c r="M471" s="152">
        <v>49.68</v>
      </c>
      <c r="N471" s="62">
        <f t="shared" ref="N471:N476" si="12">ROUND(L471*M471,2)</f>
        <v>19.38</v>
      </c>
    </row>
    <row r="472" spans="2:14" x14ac:dyDescent="0.25">
      <c r="B472" s="86" t="s">
        <v>26</v>
      </c>
      <c r="C472" s="92">
        <v>11795</v>
      </c>
      <c r="D472" s="103" t="s">
        <v>215</v>
      </c>
      <c r="E472" s="87"/>
      <c r="F472" s="87"/>
      <c r="G472" s="87"/>
      <c r="H472" s="87"/>
      <c r="I472" s="87"/>
      <c r="J472" s="88"/>
      <c r="K472" s="89" t="s">
        <v>28</v>
      </c>
      <c r="L472" s="93">
        <v>1</v>
      </c>
      <c r="M472" s="152">
        <v>475.47</v>
      </c>
      <c r="N472" s="62">
        <f t="shared" si="12"/>
        <v>475.47</v>
      </c>
    </row>
    <row r="473" spans="2:14" x14ac:dyDescent="0.25">
      <c r="B473" s="86" t="s">
        <v>26</v>
      </c>
      <c r="C473" s="92" t="s">
        <v>234</v>
      </c>
      <c r="D473" s="103" t="s">
        <v>235</v>
      </c>
      <c r="E473" s="87"/>
      <c r="F473" s="87"/>
      <c r="G473" s="87"/>
      <c r="H473" s="87"/>
      <c r="I473" s="87"/>
      <c r="J473" s="88"/>
      <c r="K473" s="89" t="s">
        <v>48</v>
      </c>
      <c r="L473" s="93">
        <v>0.89</v>
      </c>
      <c r="M473" s="152">
        <v>46.88</v>
      </c>
      <c r="N473" s="62">
        <f t="shared" si="12"/>
        <v>41.72</v>
      </c>
    </row>
    <row r="474" spans="2:14" x14ac:dyDescent="0.25">
      <c r="B474" s="86" t="s">
        <v>26</v>
      </c>
      <c r="C474" s="92">
        <v>37329</v>
      </c>
      <c r="D474" s="103" t="s">
        <v>216</v>
      </c>
      <c r="E474" s="87"/>
      <c r="F474" s="87"/>
      <c r="G474" s="87"/>
      <c r="H474" s="87"/>
      <c r="I474" s="87"/>
      <c r="J474" s="88"/>
      <c r="K474" s="89" t="s">
        <v>31</v>
      </c>
      <c r="L474" s="93">
        <v>0.02</v>
      </c>
      <c r="M474" s="152">
        <v>86.57</v>
      </c>
      <c r="N474" s="62">
        <f t="shared" si="12"/>
        <v>1.73</v>
      </c>
    </row>
    <row r="475" spans="2:14" x14ac:dyDescent="0.25">
      <c r="B475" s="86" t="s">
        <v>15</v>
      </c>
      <c r="C475" s="92">
        <v>88274</v>
      </c>
      <c r="D475" s="103" t="s">
        <v>221</v>
      </c>
      <c r="E475" s="87"/>
      <c r="F475" s="87"/>
      <c r="G475" s="87"/>
      <c r="H475" s="87"/>
      <c r="I475" s="87"/>
      <c r="J475" s="88"/>
      <c r="K475" s="89" t="s">
        <v>17</v>
      </c>
      <c r="L475" s="93">
        <f>ROUND((1.921*1.9),2)</f>
        <v>3.65</v>
      </c>
      <c r="M475" s="152">
        <v>21.91</v>
      </c>
      <c r="N475" s="62">
        <f t="shared" si="12"/>
        <v>79.97</v>
      </c>
    </row>
    <row r="476" spans="2:14" x14ac:dyDescent="0.25">
      <c r="B476" s="86" t="s">
        <v>15</v>
      </c>
      <c r="C476" s="92">
        <v>88316</v>
      </c>
      <c r="D476" s="103" t="s">
        <v>33</v>
      </c>
      <c r="E476" s="87"/>
      <c r="F476" s="87"/>
      <c r="G476" s="87"/>
      <c r="H476" s="87"/>
      <c r="I476" s="87"/>
      <c r="J476" s="88"/>
      <c r="K476" s="89" t="s">
        <v>17</v>
      </c>
      <c r="L476" s="93">
        <f>ROUND((0.9811*1.9),2)</f>
        <v>1.86</v>
      </c>
      <c r="M476" s="152">
        <v>17.09</v>
      </c>
      <c r="N476" s="62">
        <f t="shared" si="12"/>
        <v>31.79</v>
      </c>
    </row>
    <row r="477" spans="2:14" x14ac:dyDescent="0.25">
      <c r="B477" s="153"/>
      <c r="C477" s="154"/>
      <c r="D477" s="38" t="s">
        <v>34</v>
      </c>
      <c r="E477" s="38"/>
      <c r="F477" s="38"/>
      <c r="G477" s="38"/>
      <c r="H477" s="38"/>
      <c r="I477" s="38"/>
      <c r="J477" s="38"/>
      <c r="K477" s="73"/>
      <c r="L477" s="74"/>
      <c r="M477" s="75"/>
      <c r="N477" s="76">
        <f>ROUND(SUM(N471:N476),2)</f>
        <v>650.05999999999995</v>
      </c>
    </row>
    <row r="478" spans="2:14" x14ac:dyDescent="0.25">
      <c r="B478" s="25"/>
      <c r="C478" s="25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</row>
    <row r="479" spans="2:14" x14ac:dyDescent="0.25">
      <c r="B479" s="35" t="s">
        <v>2</v>
      </c>
      <c r="C479" s="37" t="s">
        <v>3</v>
      </c>
      <c r="D479" s="38"/>
      <c r="E479" s="38"/>
      <c r="F479" s="38"/>
      <c r="G479" s="38"/>
      <c r="H479" s="38"/>
      <c r="I479" s="38"/>
      <c r="J479" s="38"/>
      <c r="K479" s="38"/>
      <c r="L479" s="38"/>
      <c r="M479" s="39"/>
      <c r="N479" s="146"/>
    </row>
    <row r="480" spans="2:14" x14ac:dyDescent="0.25">
      <c r="B480" s="131" t="str">
        <f>[1]ORÇ!B423</f>
        <v>SINAPI</v>
      </c>
      <c r="C480" s="132"/>
      <c r="D480" s="42" t="s">
        <v>240</v>
      </c>
      <c r="E480" s="43"/>
      <c r="F480" s="43"/>
      <c r="G480" s="43"/>
      <c r="H480" s="43"/>
      <c r="I480" s="43"/>
      <c r="J480" s="43"/>
      <c r="K480" s="43"/>
      <c r="L480" s="44"/>
      <c r="M480" s="45" t="s">
        <v>5</v>
      </c>
      <c r="N480" s="136" t="s">
        <v>6</v>
      </c>
    </row>
    <row r="481" spans="2:16" x14ac:dyDescent="0.25">
      <c r="B481" s="37" t="s">
        <v>241</v>
      </c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9"/>
    </row>
    <row r="482" spans="2:16" x14ac:dyDescent="0.25">
      <c r="B482" s="48" t="s">
        <v>8</v>
      </c>
      <c r="C482" s="147" t="s">
        <v>9</v>
      </c>
      <c r="D482" s="49"/>
      <c r="E482" s="50"/>
      <c r="F482" s="50"/>
      <c r="G482" s="50" t="s">
        <v>10</v>
      </c>
      <c r="H482" s="50"/>
      <c r="I482" s="50"/>
      <c r="J482" s="51"/>
      <c r="K482" s="52" t="s">
        <v>11</v>
      </c>
      <c r="L482" s="52" t="s">
        <v>12</v>
      </c>
      <c r="M482" s="45" t="s">
        <v>13</v>
      </c>
      <c r="N482" s="45" t="s">
        <v>14</v>
      </c>
    </row>
    <row r="483" spans="2:16" x14ac:dyDescent="0.25">
      <c r="B483" s="86" t="s">
        <v>26</v>
      </c>
      <c r="C483" s="92">
        <v>4823</v>
      </c>
      <c r="D483" s="103" t="s">
        <v>213</v>
      </c>
      <c r="E483" s="87"/>
      <c r="F483" s="87"/>
      <c r="G483" s="87"/>
      <c r="H483" s="87"/>
      <c r="I483" s="87"/>
      <c r="J483" s="88"/>
      <c r="K483" s="89" t="s">
        <v>31</v>
      </c>
      <c r="L483" s="93">
        <v>0.88</v>
      </c>
      <c r="M483" s="152">
        <v>49.68</v>
      </c>
      <c r="N483" s="62">
        <f t="shared" ref="N483:N493" si="13">ROUND(L483*M483,2)</f>
        <v>43.72</v>
      </c>
      <c r="P483">
        <v>3.65</v>
      </c>
    </row>
    <row r="484" spans="2:16" x14ac:dyDescent="0.25">
      <c r="B484" s="86" t="s">
        <v>26</v>
      </c>
      <c r="C484" s="92">
        <v>7568</v>
      </c>
      <c r="D484" s="103" t="s">
        <v>214</v>
      </c>
      <c r="E484" s="87"/>
      <c r="F484" s="87"/>
      <c r="G484" s="87"/>
      <c r="H484" s="87"/>
      <c r="I484" s="87"/>
      <c r="J484" s="88"/>
      <c r="K484" s="89" t="s">
        <v>75</v>
      </c>
      <c r="L484" s="93">
        <v>9</v>
      </c>
      <c r="M484" s="152">
        <v>0.92</v>
      </c>
      <c r="N484" s="62">
        <f t="shared" si="13"/>
        <v>8.2799999999999994</v>
      </c>
      <c r="P484">
        <f>P483/1.4</f>
        <v>2.6071428571428572</v>
      </c>
    </row>
    <row r="485" spans="2:16" x14ac:dyDescent="0.25">
      <c r="B485" s="86" t="s">
        <v>26</v>
      </c>
      <c r="C485" s="92">
        <v>11795</v>
      </c>
      <c r="D485" s="103" t="s">
        <v>215</v>
      </c>
      <c r="E485" s="87"/>
      <c r="F485" s="87"/>
      <c r="G485" s="87"/>
      <c r="H485" s="87"/>
      <c r="I485" s="87"/>
      <c r="J485" s="88"/>
      <c r="K485" s="89" t="s">
        <v>28</v>
      </c>
      <c r="L485" s="93">
        <f>1.6*0.6</f>
        <v>0.96</v>
      </c>
      <c r="M485" s="152">
        <v>475.47</v>
      </c>
      <c r="N485" s="62">
        <f t="shared" si="13"/>
        <v>456.45</v>
      </c>
    </row>
    <row r="486" spans="2:16" x14ac:dyDescent="0.25">
      <c r="B486" s="86" t="s">
        <v>26</v>
      </c>
      <c r="C486" s="92" t="s">
        <v>234</v>
      </c>
      <c r="D486" s="143" t="s">
        <v>235</v>
      </c>
      <c r="E486" s="144"/>
      <c r="F486" s="144"/>
      <c r="G486" s="144"/>
      <c r="H486" s="144"/>
      <c r="I486" s="144"/>
      <c r="J486" s="145"/>
      <c r="K486" s="89" t="s">
        <v>48</v>
      </c>
      <c r="L486" s="93">
        <f>1.6+0.66</f>
        <v>2.2600000000000002</v>
      </c>
      <c r="M486" s="152">
        <v>46.88</v>
      </c>
      <c r="N486" s="62">
        <f t="shared" si="13"/>
        <v>105.95</v>
      </c>
    </row>
    <row r="487" spans="2:16" x14ac:dyDescent="0.25">
      <c r="B487" s="86" t="s">
        <v>26</v>
      </c>
      <c r="C487" s="92">
        <v>37329</v>
      </c>
      <c r="D487" s="103" t="s">
        <v>216</v>
      </c>
      <c r="E487" s="87"/>
      <c r="F487" s="87"/>
      <c r="G487" s="87"/>
      <c r="H487" s="87"/>
      <c r="I487" s="87"/>
      <c r="J487" s="88"/>
      <c r="K487" s="89" t="s">
        <v>31</v>
      </c>
      <c r="L487" s="93">
        <f>ROUND((0.0211*2.6),2)</f>
        <v>0.05</v>
      </c>
      <c r="M487" s="152">
        <v>86.57</v>
      </c>
      <c r="N487" s="62">
        <f t="shared" si="13"/>
        <v>4.33</v>
      </c>
    </row>
    <row r="488" spans="2:16" x14ac:dyDescent="0.25">
      <c r="B488" s="86" t="s">
        <v>15</v>
      </c>
      <c r="C488" s="92">
        <v>86936</v>
      </c>
      <c r="D488" s="103" t="s">
        <v>242</v>
      </c>
      <c r="E488" s="87"/>
      <c r="F488" s="87"/>
      <c r="G488" s="87"/>
      <c r="H488" s="87"/>
      <c r="I488" s="87"/>
      <c r="J488" s="88"/>
      <c r="K488" s="89" t="s">
        <v>75</v>
      </c>
      <c r="L488" s="93">
        <v>1</v>
      </c>
      <c r="M488" s="152">
        <v>449.55</v>
      </c>
      <c r="N488" s="62">
        <f t="shared" si="13"/>
        <v>449.55</v>
      </c>
    </row>
    <row r="489" spans="2:16" x14ac:dyDescent="0.25">
      <c r="B489" s="86" t="s">
        <v>15</v>
      </c>
      <c r="C489" s="92">
        <v>86885</v>
      </c>
      <c r="D489" s="103" t="s">
        <v>218</v>
      </c>
      <c r="E489" s="87"/>
      <c r="F489" s="87"/>
      <c r="G489" s="87"/>
      <c r="H489" s="87"/>
      <c r="I489" s="87"/>
      <c r="J489" s="88"/>
      <c r="K489" s="89" t="s">
        <v>75</v>
      </c>
      <c r="L489" s="93">
        <v>1</v>
      </c>
      <c r="M489" s="152">
        <v>11.42</v>
      </c>
      <c r="N489" s="62">
        <f t="shared" si="13"/>
        <v>11.42</v>
      </c>
    </row>
    <row r="490" spans="2:16" x14ac:dyDescent="0.25">
      <c r="B490" s="86" t="s">
        <v>26</v>
      </c>
      <c r="C490" s="92">
        <v>38605</v>
      </c>
      <c r="D490" s="103" t="s">
        <v>219</v>
      </c>
      <c r="E490" s="87"/>
      <c r="F490" s="87"/>
      <c r="G490" s="87"/>
      <c r="H490" s="87"/>
      <c r="I490" s="87"/>
      <c r="J490" s="88"/>
      <c r="K490" s="89" t="s">
        <v>75</v>
      </c>
      <c r="L490" s="93">
        <v>1</v>
      </c>
      <c r="M490" s="152">
        <v>146.6</v>
      </c>
      <c r="N490" s="62">
        <f t="shared" si="13"/>
        <v>146.6</v>
      </c>
    </row>
    <row r="491" spans="2:16" x14ac:dyDescent="0.25">
      <c r="B491" s="86" t="s">
        <v>26</v>
      </c>
      <c r="C491" s="92">
        <v>38633</v>
      </c>
      <c r="D491" s="103" t="s">
        <v>220</v>
      </c>
      <c r="E491" s="87"/>
      <c r="F491" s="87"/>
      <c r="G491" s="87"/>
      <c r="H491" s="87"/>
      <c r="I491" s="87"/>
      <c r="J491" s="88"/>
      <c r="K491" s="89" t="s">
        <v>75</v>
      </c>
      <c r="L491" s="93">
        <v>1</v>
      </c>
      <c r="M491" s="152">
        <v>21.99</v>
      </c>
      <c r="N491" s="62">
        <f t="shared" si="13"/>
        <v>21.99</v>
      </c>
    </row>
    <row r="492" spans="2:16" x14ac:dyDescent="0.25">
      <c r="B492" s="86" t="s">
        <v>15</v>
      </c>
      <c r="C492" s="92">
        <v>88274</v>
      </c>
      <c r="D492" s="103" t="s">
        <v>221</v>
      </c>
      <c r="E492" s="87"/>
      <c r="F492" s="87"/>
      <c r="G492" s="87"/>
      <c r="H492" s="87"/>
      <c r="I492" s="87"/>
      <c r="J492" s="88"/>
      <c r="K492" s="89" t="s">
        <v>17</v>
      </c>
      <c r="L492" s="93">
        <v>2</v>
      </c>
      <c r="M492" s="152">
        <v>21.91</v>
      </c>
      <c r="N492" s="62">
        <f t="shared" si="13"/>
        <v>43.82</v>
      </c>
    </row>
    <row r="493" spans="2:16" x14ac:dyDescent="0.25">
      <c r="B493" s="86" t="s">
        <v>15</v>
      </c>
      <c r="C493" s="92">
        <v>88316</v>
      </c>
      <c r="D493" s="103" t="s">
        <v>33</v>
      </c>
      <c r="E493" s="87"/>
      <c r="F493" s="87"/>
      <c r="G493" s="87"/>
      <c r="H493" s="87"/>
      <c r="I493" s="87"/>
      <c r="J493" s="88"/>
      <c r="K493" s="89" t="s">
        <v>17</v>
      </c>
      <c r="L493" s="93">
        <v>2</v>
      </c>
      <c r="M493" s="152">
        <v>17.09</v>
      </c>
      <c r="N493" s="62">
        <f t="shared" si="13"/>
        <v>34.18</v>
      </c>
    </row>
    <row r="494" spans="2:16" x14ac:dyDescent="0.25">
      <c r="B494" s="153"/>
      <c r="C494" s="154"/>
      <c r="D494" s="38" t="s">
        <v>34</v>
      </c>
      <c r="E494" s="38"/>
      <c r="F494" s="38"/>
      <c r="G494" s="38"/>
      <c r="H494" s="38"/>
      <c r="I494" s="38"/>
      <c r="J494" s="38"/>
      <c r="K494" s="73"/>
      <c r="L494" s="74"/>
      <c r="M494" s="75"/>
      <c r="N494" s="76">
        <f>SUM(N483:N493)</f>
        <v>1326.29</v>
      </c>
    </row>
    <row r="495" spans="2:16" x14ac:dyDescent="0.25">
      <c r="B495" s="25"/>
      <c r="C495" s="25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</row>
    <row r="496" spans="2:16" x14ac:dyDescent="0.25">
      <c r="B496" s="35" t="s">
        <v>20</v>
      </c>
      <c r="C496" s="37" t="s">
        <v>3</v>
      </c>
      <c r="D496" s="38"/>
      <c r="E496" s="38"/>
      <c r="F496" s="38"/>
      <c r="G496" s="38"/>
      <c r="H496" s="38"/>
      <c r="I496" s="38"/>
      <c r="J496" s="38"/>
      <c r="K496" s="38"/>
      <c r="L496" s="38"/>
      <c r="M496" s="39"/>
      <c r="N496" s="146"/>
    </row>
    <row r="497" spans="2:16" x14ac:dyDescent="0.25">
      <c r="B497" s="131" t="str">
        <f>[1]ORÇ!B424</f>
        <v>SINAPI</v>
      </c>
      <c r="C497" s="132"/>
      <c r="D497" s="133" t="s">
        <v>243</v>
      </c>
      <c r="E497" s="134"/>
      <c r="F497" s="134"/>
      <c r="G497" s="134"/>
      <c r="H497" s="134"/>
      <c r="I497" s="134"/>
      <c r="J497" s="134"/>
      <c r="K497" s="134"/>
      <c r="L497" s="135"/>
      <c r="M497" s="45" t="s">
        <v>5</v>
      </c>
      <c r="N497" s="136" t="s">
        <v>6</v>
      </c>
    </row>
    <row r="498" spans="2:16" x14ac:dyDescent="0.25">
      <c r="B498" s="37" t="s">
        <v>244</v>
      </c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9"/>
    </row>
    <row r="499" spans="2:16" x14ac:dyDescent="0.25">
      <c r="B499" s="48" t="s">
        <v>8</v>
      </c>
      <c r="C499" s="147" t="s">
        <v>9</v>
      </c>
      <c r="D499" s="49"/>
      <c r="E499" s="50"/>
      <c r="F499" s="50"/>
      <c r="G499" s="50" t="s">
        <v>10</v>
      </c>
      <c r="H499" s="50"/>
      <c r="I499" s="50"/>
      <c r="J499" s="51"/>
      <c r="K499" s="52" t="s">
        <v>11</v>
      </c>
      <c r="L499" s="52" t="s">
        <v>12</v>
      </c>
      <c r="M499" s="45" t="s">
        <v>13</v>
      </c>
      <c r="N499" s="137" t="s">
        <v>14</v>
      </c>
    </row>
    <row r="500" spans="2:16" x14ac:dyDescent="0.25">
      <c r="B500" s="86" t="s">
        <v>15</v>
      </c>
      <c r="C500" s="167">
        <v>86884</v>
      </c>
      <c r="D500" s="103" t="s">
        <v>224</v>
      </c>
      <c r="E500" s="87"/>
      <c r="F500" s="87"/>
      <c r="G500" s="87"/>
      <c r="H500" s="87"/>
      <c r="I500" s="87"/>
      <c r="J500" s="88"/>
      <c r="K500" s="89" t="s">
        <v>245</v>
      </c>
      <c r="L500" s="93">
        <v>1</v>
      </c>
      <c r="M500" s="168">
        <v>8.5399999999999991</v>
      </c>
      <c r="N500" s="62">
        <f t="shared" ref="N500:N512" si="14">ROUND(L500*M500,2)</f>
        <v>8.5399999999999991</v>
      </c>
      <c r="O500" s="26"/>
      <c r="P500" s="26"/>
    </row>
    <row r="501" spans="2:16" x14ac:dyDescent="0.25">
      <c r="B501" s="86" t="s">
        <v>15</v>
      </c>
      <c r="C501" s="167">
        <v>103328</v>
      </c>
      <c r="D501" s="103" t="s">
        <v>225</v>
      </c>
      <c r="E501" s="87"/>
      <c r="F501" s="87"/>
      <c r="G501" s="87"/>
      <c r="H501" s="87"/>
      <c r="I501" s="87"/>
      <c r="J501" s="88"/>
      <c r="K501" s="89" t="s">
        <v>28</v>
      </c>
      <c r="L501" s="89">
        <f>ROUND((2*0.9*0.6),2)</f>
        <v>1.08</v>
      </c>
      <c r="M501" s="168">
        <v>80.45</v>
      </c>
      <c r="N501" s="62">
        <f t="shared" si="14"/>
        <v>86.89</v>
      </c>
      <c r="O501" s="26"/>
      <c r="P501" s="26"/>
    </row>
    <row r="502" spans="2:16" x14ac:dyDescent="0.25">
      <c r="B502" s="86" t="s">
        <v>15</v>
      </c>
      <c r="C502" s="167">
        <v>87878</v>
      </c>
      <c r="D502" s="103" t="s">
        <v>226</v>
      </c>
      <c r="E502" s="87"/>
      <c r="F502" s="87"/>
      <c r="G502" s="87"/>
      <c r="H502" s="87"/>
      <c r="I502" s="87"/>
      <c r="J502" s="88"/>
      <c r="K502" s="89" t="s">
        <v>64</v>
      </c>
      <c r="L502" s="89">
        <f>ROUND((4*0.9*0.6),2)</f>
        <v>2.16</v>
      </c>
      <c r="M502" s="168">
        <v>4.46</v>
      </c>
      <c r="N502" s="62">
        <f t="shared" si="14"/>
        <v>9.6300000000000008</v>
      </c>
      <c r="O502" s="26"/>
      <c r="P502" s="26"/>
    </row>
    <row r="503" spans="2:16" x14ac:dyDescent="0.25">
      <c r="B503" s="86" t="s">
        <v>15</v>
      </c>
      <c r="C503" s="167">
        <v>87546</v>
      </c>
      <c r="D503" s="103" t="s">
        <v>227</v>
      </c>
      <c r="E503" s="87"/>
      <c r="F503" s="87"/>
      <c r="G503" s="87"/>
      <c r="H503" s="87"/>
      <c r="I503" s="87"/>
      <c r="J503" s="88"/>
      <c r="K503" s="89" t="s">
        <v>64</v>
      </c>
      <c r="L503" s="89">
        <f>L502</f>
        <v>2.16</v>
      </c>
      <c r="M503" s="168">
        <v>30</v>
      </c>
      <c r="N503" s="62">
        <f t="shared" si="14"/>
        <v>64.8</v>
      </c>
      <c r="O503" s="26"/>
      <c r="P503" s="26"/>
    </row>
    <row r="504" spans="2:16" x14ac:dyDescent="0.25">
      <c r="B504" s="86" t="s">
        <v>15</v>
      </c>
      <c r="C504" s="167">
        <v>87265</v>
      </c>
      <c r="D504" s="103" t="s">
        <v>228</v>
      </c>
      <c r="E504" s="87"/>
      <c r="F504" s="87"/>
      <c r="G504" s="87"/>
      <c r="H504" s="87"/>
      <c r="I504" s="87"/>
      <c r="J504" s="88"/>
      <c r="K504" s="89" t="s">
        <v>64</v>
      </c>
      <c r="L504" s="89">
        <f>ROUND((L503+(0.6*1.3)+(0.07*1.3)),2)</f>
        <v>3.03</v>
      </c>
      <c r="M504" s="168">
        <v>62.36</v>
      </c>
      <c r="N504" s="62">
        <f t="shared" si="14"/>
        <v>188.95</v>
      </c>
      <c r="O504" s="26"/>
      <c r="P504" s="26"/>
    </row>
    <row r="505" spans="2:16" x14ac:dyDescent="0.25">
      <c r="B505" s="86" t="s">
        <v>15</v>
      </c>
      <c r="C505" s="167">
        <v>86906</v>
      </c>
      <c r="D505" s="169" t="s">
        <v>229</v>
      </c>
      <c r="E505" s="170"/>
      <c r="F505" s="170"/>
      <c r="G505" s="170"/>
      <c r="H505" s="170"/>
      <c r="I505" s="170"/>
      <c r="J505" s="171"/>
      <c r="K505" s="89" t="s">
        <v>245</v>
      </c>
      <c r="L505" s="93">
        <v>1</v>
      </c>
      <c r="M505" s="168">
        <v>67.06</v>
      </c>
      <c r="N505" s="62">
        <f t="shared" si="14"/>
        <v>67.06</v>
      </c>
      <c r="O505" s="26"/>
      <c r="P505" s="26"/>
    </row>
    <row r="506" spans="2:16" x14ac:dyDescent="0.25">
      <c r="B506" s="86" t="s">
        <v>15</v>
      </c>
      <c r="C506" s="167">
        <v>86883</v>
      </c>
      <c r="D506" s="169" t="s">
        <v>230</v>
      </c>
      <c r="E506" s="170"/>
      <c r="F506" s="170"/>
      <c r="G506" s="170"/>
      <c r="H506" s="170"/>
      <c r="I506" s="170"/>
      <c r="J506" s="171"/>
      <c r="K506" s="89" t="s">
        <v>245</v>
      </c>
      <c r="L506" s="93">
        <v>1</v>
      </c>
      <c r="M506" s="168">
        <v>12.3</v>
      </c>
      <c r="N506" s="62">
        <f t="shared" si="14"/>
        <v>12.3</v>
      </c>
      <c r="O506" s="26"/>
      <c r="P506" s="26"/>
    </row>
    <row r="507" spans="2:16" x14ac:dyDescent="0.25">
      <c r="B507" s="86" t="s">
        <v>15</v>
      </c>
      <c r="C507" s="167">
        <v>92916</v>
      </c>
      <c r="D507" s="103" t="s">
        <v>246</v>
      </c>
      <c r="E507" s="87"/>
      <c r="F507" s="87"/>
      <c r="G507" s="87"/>
      <c r="H507" s="87"/>
      <c r="I507" s="87"/>
      <c r="J507" s="88"/>
      <c r="K507" s="89" t="s">
        <v>31</v>
      </c>
      <c r="L507" s="89">
        <f>ROUND((0.245*(1.2+2.6)),2)</f>
        <v>0.93</v>
      </c>
      <c r="M507" s="168">
        <v>14.86</v>
      </c>
      <c r="N507" s="62">
        <f t="shared" si="14"/>
        <v>13.82</v>
      </c>
      <c r="O507" s="26"/>
      <c r="P507" s="26"/>
    </row>
    <row r="508" spans="2:16" x14ac:dyDescent="0.25">
      <c r="B508" s="86" t="s">
        <v>15</v>
      </c>
      <c r="C508" s="167">
        <v>94975</v>
      </c>
      <c r="D508" s="103" t="s">
        <v>247</v>
      </c>
      <c r="E508" s="87"/>
      <c r="F508" s="87"/>
      <c r="G508" s="87"/>
      <c r="H508" s="87"/>
      <c r="I508" s="87"/>
      <c r="J508" s="88"/>
      <c r="K508" s="89" t="s">
        <v>25</v>
      </c>
      <c r="L508" s="89">
        <f>ROUND((1.3*0.07*0.6),2)</f>
        <v>0.05</v>
      </c>
      <c r="M508" s="168">
        <v>513.39</v>
      </c>
      <c r="N508" s="62">
        <f t="shared" si="14"/>
        <v>25.67</v>
      </c>
      <c r="O508" s="26"/>
      <c r="P508" s="26"/>
    </row>
    <row r="509" spans="2:16" x14ac:dyDescent="0.25">
      <c r="B509" s="86" t="s">
        <v>15</v>
      </c>
      <c r="C509" s="92">
        <v>96536</v>
      </c>
      <c r="D509" s="103" t="s">
        <v>248</v>
      </c>
      <c r="E509" s="87"/>
      <c r="F509" s="87"/>
      <c r="G509" s="87"/>
      <c r="H509" s="87"/>
      <c r="I509" s="87"/>
      <c r="J509" s="88"/>
      <c r="K509" s="89" t="s">
        <v>28</v>
      </c>
      <c r="L509" s="93">
        <f>ROUND(((0.6*1.3)+(2*1.3*0.1)),2)</f>
        <v>1.04</v>
      </c>
      <c r="M509" s="172">
        <v>64.47</v>
      </c>
      <c r="N509" s="62">
        <f t="shared" si="14"/>
        <v>67.05</v>
      </c>
      <c r="O509" s="26"/>
      <c r="P509" s="26"/>
    </row>
    <row r="510" spans="2:16" x14ac:dyDescent="0.25">
      <c r="B510" s="86" t="s">
        <v>26</v>
      </c>
      <c r="C510" s="86">
        <v>1746</v>
      </c>
      <c r="D510" s="103" t="s">
        <v>249</v>
      </c>
      <c r="E510" s="87"/>
      <c r="F510" s="87"/>
      <c r="G510" s="87"/>
      <c r="H510" s="87"/>
      <c r="I510" s="87"/>
      <c r="J510" s="88"/>
      <c r="K510" s="89" t="s">
        <v>245</v>
      </c>
      <c r="L510" s="93">
        <v>1</v>
      </c>
      <c r="M510" s="152">
        <v>212.63</v>
      </c>
      <c r="N510" s="62">
        <f t="shared" si="14"/>
        <v>212.63</v>
      </c>
      <c r="O510" s="26"/>
      <c r="P510" s="26"/>
    </row>
    <row r="511" spans="2:16" x14ac:dyDescent="0.25">
      <c r="B511" s="86" t="s">
        <v>15</v>
      </c>
      <c r="C511" s="92">
        <v>88316</v>
      </c>
      <c r="D511" s="103" t="s">
        <v>33</v>
      </c>
      <c r="E511" s="87"/>
      <c r="F511" s="87"/>
      <c r="G511" s="87"/>
      <c r="H511" s="87"/>
      <c r="I511" s="87"/>
      <c r="J511" s="88"/>
      <c r="K511" s="89" t="s">
        <v>250</v>
      </c>
      <c r="L511" s="93">
        <v>1.5</v>
      </c>
      <c r="M511" s="152">
        <v>17.09</v>
      </c>
      <c r="N511" s="62">
        <f t="shared" si="14"/>
        <v>25.64</v>
      </c>
    </row>
    <row r="512" spans="2:16" x14ac:dyDescent="0.25">
      <c r="B512" s="173" t="s">
        <v>15</v>
      </c>
      <c r="C512" s="92">
        <v>88309</v>
      </c>
      <c r="D512" s="103" t="s">
        <v>32</v>
      </c>
      <c r="E512" s="87"/>
      <c r="F512" s="87"/>
      <c r="G512" s="87"/>
      <c r="H512" s="87"/>
      <c r="I512" s="87"/>
      <c r="J512" s="88"/>
      <c r="K512" s="89" t="s">
        <v>250</v>
      </c>
      <c r="L512" s="93">
        <v>1.2</v>
      </c>
      <c r="M512" s="152">
        <v>21.31</v>
      </c>
      <c r="N512" s="62">
        <f t="shared" si="14"/>
        <v>25.57</v>
      </c>
    </row>
    <row r="513" spans="2:16" x14ac:dyDescent="0.25">
      <c r="B513" s="153"/>
      <c r="C513" s="160"/>
      <c r="D513" s="37" t="s">
        <v>34</v>
      </c>
      <c r="E513" s="38"/>
      <c r="F513" s="38"/>
      <c r="G513" s="38"/>
      <c r="H513" s="38"/>
      <c r="I513" s="38"/>
      <c r="J513" s="38"/>
      <c r="K513" s="73"/>
      <c r="L513" s="74"/>
      <c r="M513" s="75"/>
      <c r="N513" s="105">
        <f>ROUND((SUM(N500:N512)),2)</f>
        <v>808.55</v>
      </c>
    </row>
    <row r="514" spans="2:16" x14ac:dyDescent="0.25">
      <c r="B514" s="25"/>
      <c r="C514" s="25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</row>
    <row r="515" spans="2:16" x14ac:dyDescent="0.25">
      <c r="B515" s="35" t="s">
        <v>2</v>
      </c>
      <c r="C515" s="37" t="s">
        <v>3</v>
      </c>
      <c r="D515" s="38"/>
      <c r="E515" s="38"/>
      <c r="F515" s="38"/>
      <c r="G515" s="38"/>
      <c r="H515" s="38"/>
      <c r="I515" s="38"/>
      <c r="J515" s="38"/>
      <c r="K515" s="38"/>
      <c r="L515" s="38"/>
      <c r="M515" s="39"/>
      <c r="N515" s="146"/>
    </row>
    <row r="516" spans="2:16" x14ac:dyDescent="0.25">
      <c r="B516" s="131" t="str">
        <f>[1]ORÇ!B430</f>
        <v>SINAPI</v>
      </c>
      <c r="C516" s="132"/>
      <c r="D516" s="133" t="s">
        <v>251</v>
      </c>
      <c r="E516" s="134"/>
      <c r="F516" s="134"/>
      <c r="G516" s="134"/>
      <c r="H516" s="134"/>
      <c r="I516" s="134"/>
      <c r="J516" s="134"/>
      <c r="K516" s="134"/>
      <c r="L516" s="135"/>
      <c r="M516" s="45" t="s">
        <v>5</v>
      </c>
      <c r="N516" s="136" t="s">
        <v>6</v>
      </c>
    </row>
    <row r="517" spans="2:16" x14ac:dyDescent="0.25">
      <c r="B517" s="37" t="s">
        <v>252</v>
      </c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9"/>
    </row>
    <row r="518" spans="2:16" x14ac:dyDescent="0.25">
      <c r="B518" s="48" t="s">
        <v>8</v>
      </c>
      <c r="C518" s="147" t="s">
        <v>9</v>
      </c>
      <c r="D518" s="49"/>
      <c r="E518" s="50"/>
      <c r="F518" s="50"/>
      <c r="G518" s="50" t="s">
        <v>10</v>
      </c>
      <c r="H518" s="50"/>
      <c r="I518" s="50"/>
      <c r="J518" s="51"/>
      <c r="K518" s="52" t="s">
        <v>11</v>
      </c>
      <c r="L518" s="52" t="s">
        <v>12</v>
      </c>
      <c r="M518" s="45" t="s">
        <v>13</v>
      </c>
      <c r="N518" s="137" t="s">
        <v>14</v>
      </c>
    </row>
    <row r="519" spans="2:16" x14ac:dyDescent="0.25">
      <c r="B519" s="148" t="s">
        <v>26</v>
      </c>
      <c r="C519" s="92">
        <v>37401</v>
      </c>
      <c r="D519" s="149" t="s">
        <v>253</v>
      </c>
      <c r="E519" s="150"/>
      <c r="F519" s="150"/>
      <c r="G519" s="150"/>
      <c r="H519" s="150"/>
      <c r="I519" s="150"/>
      <c r="J519" s="151"/>
      <c r="K519" s="89" t="s">
        <v>75</v>
      </c>
      <c r="L519" s="93">
        <v>1</v>
      </c>
      <c r="M519" s="152">
        <v>83.55</v>
      </c>
      <c r="N519" s="62">
        <f t="shared" ref="N519:N521" si="15">ROUND(L519*M519,2)</f>
        <v>83.55</v>
      </c>
    </row>
    <row r="520" spans="2:16" x14ac:dyDescent="0.25">
      <c r="B520" s="148" t="s">
        <v>15</v>
      </c>
      <c r="C520" s="92">
        <v>88267</v>
      </c>
      <c r="D520" s="174" t="s">
        <v>210</v>
      </c>
      <c r="E520" s="175"/>
      <c r="F520" s="175"/>
      <c r="G520" s="175"/>
      <c r="H520" s="175"/>
      <c r="I520" s="175"/>
      <c r="J520" s="176"/>
      <c r="K520" s="89" t="s">
        <v>17</v>
      </c>
      <c r="L520" s="93">
        <v>0.32</v>
      </c>
      <c r="M520" s="152">
        <v>20.7</v>
      </c>
      <c r="N520" s="62">
        <f t="shared" si="15"/>
        <v>6.62</v>
      </c>
    </row>
    <row r="521" spans="2:16" x14ac:dyDescent="0.25">
      <c r="B521" s="148" t="s">
        <v>15</v>
      </c>
      <c r="C521" s="92">
        <v>88316</v>
      </c>
      <c r="D521" s="174" t="s">
        <v>33</v>
      </c>
      <c r="E521" s="175"/>
      <c r="F521" s="175"/>
      <c r="G521" s="175"/>
      <c r="H521" s="175"/>
      <c r="I521" s="175"/>
      <c r="J521" s="176"/>
      <c r="K521" s="89" t="s">
        <v>17</v>
      </c>
      <c r="L521" s="93">
        <v>0.1</v>
      </c>
      <c r="M521" s="152">
        <v>17.09</v>
      </c>
      <c r="N521" s="62">
        <f t="shared" si="15"/>
        <v>1.71</v>
      </c>
    </row>
    <row r="522" spans="2:16" x14ac:dyDescent="0.25">
      <c r="B522" s="153"/>
      <c r="C522" s="154"/>
      <c r="D522" s="38" t="s">
        <v>34</v>
      </c>
      <c r="E522" s="38"/>
      <c r="F522" s="38"/>
      <c r="G522" s="38"/>
      <c r="H522" s="38"/>
      <c r="I522" s="38"/>
      <c r="J522" s="38"/>
      <c r="K522" s="73"/>
      <c r="L522" s="74"/>
      <c r="M522" s="75"/>
      <c r="N522" s="76">
        <f>SUM(N519:N521)</f>
        <v>91.88</v>
      </c>
    </row>
    <row r="523" spans="2:16" x14ac:dyDescent="0.25">
      <c r="B523" s="177"/>
      <c r="C523" s="178"/>
      <c r="D523" s="179"/>
      <c r="E523" s="180"/>
      <c r="F523" s="180"/>
      <c r="G523" s="180"/>
      <c r="H523" s="180"/>
      <c r="I523" s="180"/>
      <c r="J523" s="180"/>
      <c r="K523" s="180"/>
      <c r="L523" s="180"/>
      <c r="M523" s="181"/>
      <c r="N523" s="182"/>
    </row>
    <row r="524" spans="2:16" x14ac:dyDescent="0.25">
      <c r="B524" s="35" t="s">
        <v>2</v>
      </c>
      <c r="C524" s="37" t="s">
        <v>3</v>
      </c>
      <c r="D524" s="38"/>
      <c r="E524" s="38"/>
      <c r="F524" s="38"/>
      <c r="G524" s="38"/>
      <c r="H524" s="38"/>
      <c r="I524" s="38"/>
      <c r="J524" s="38"/>
      <c r="K524" s="38"/>
      <c r="L524" s="38"/>
      <c r="M524" s="39"/>
      <c r="N524" s="146"/>
      <c r="O524" s="98"/>
      <c r="P524" s="98"/>
    </row>
    <row r="525" spans="2:16" x14ac:dyDescent="0.25">
      <c r="B525" s="131">
        <f>[1]ORÇ!B436</f>
        <v>0</v>
      </c>
      <c r="C525" s="132"/>
      <c r="D525" s="133" t="s">
        <v>254</v>
      </c>
      <c r="E525" s="134"/>
      <c r="F525" s="134"/>
      <c r="G525" s="134"/>
      <c r="H525" s="134"/>
      <c r="I525" s="134"/>
      <c r="J525" s="134"/>
      <c r="K525" s="134"/>
      <c r="L525" s="135"/>
      <c r="M525" s="45" t="s">
        <v>5</v>
      </c>
      <c r="N525" s="136" t="s">
        <v>6</v>
      </c>
    </row>
    <row r="526" spans="2:16" x14ac:dyDescent="0.25">
      <c r="B526" s="37" t="s">
        <v>255</v>
      </c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9"/>
      <c r="O526" s="98"/>
      <c r="P526" s="98"/>
    </row>
    <row r="527" spans="2:16" x14ac:dyDescent="0.25">
      <c r="B527" s="48" t="s">
        <v>8</v>
      </c>
      <c r="C527" s="147" t="s">
        <v>9</v>
      </c>
      <c r="D527" s="49"/>
      <c r="E527" s="50"/>
      <c r="F527" s="50"/>
      <c r="G527" s="50" t="s">
        <v>10</v>
      </c>
      <c r="H527" s="50"/>
      <c r="I527" s="50"/>
      <c r="J527" s="51"/>
      <c r="K527" s="52" t="s">
        <v>11</v>
      </c>
      <c r="L527" s="52" t="s">
        <v>12</v>
      </c>
      <c r="M527" s="45" t="s">
        <v>13</v>
      </c>
      <c r="N527" s="137" t="s">
        <v>14</v>
      </c>
      <c r="O527" s="98"/>
      <c r="P527" s="98"/>
    </row>
    <row r="528" spans="2:16" x14ac:dyDescent="0.25">
      <c r="B528" s="148" t="s">
        <v>26</v>
      </c>
      <c r="C528" s="92">
        <v>38100</v>
      </c>
      <c r="D528" s="149" t="s">
        <v>256</v>
      </c>
      <c r="E528" s="150"/>
      <c r="F528" s="150"/>
      <c r="G528" s="150"/>
      <c r="H528" s="150"/>
      <c r="I528" s="150"/>
      <c r="J528" s="151"/>
      <c r="K528" s="89" t="s">
        <v>75</v>
      </c>
      <c r="L528" s="93">
        <v>2</v>
      </c>
      <c r="M528" s="152">
        <v>2.4900000000000002</v>
      </c>
      <c r="N528" s="62">
        <f t="shared" ref="N528:N530" si="16">ROUND(L528*M528,2)</f>
        <v>4.9800000000000004</v>
      </c>
      <c r="O528" s="98"/>
      <c r="P528" s="98"/>
    </row>
    <row r="529" spans="2:16" x14ac:dyDescent="0.25">
      <c r="B529" s="148" t="s">
        <v>26</v>
      </c>
      <c r="C529" s="92">
        <v>11186</v>
      </c>
      <c r="D529" s="149" t="s">
        <v>257</v>
      </c>
      <c r="E529" s="150"/>
      <c r="F529" s="150"/>
      <c r="G529" s="150"/>
      <c r="H529" s="150"/>
      <c r="I529" s="150"/>
      <c r="J529" s="151"/>
      <c r="K529" s="89" t="s">
        <v>28</v>
      </c>
      <c r="L529" s="93">
        <f>0.8*0.5</f>
        <v>0.4</v>
      </c>
      <c r="M529" s="152">
        <v>540.84</v>
      </c>
      <c r="N529" s="62">
        <f t="shared" si="16"/>
        <v>216.34</v>
      </c>
      <c r="O529" s="98"/>
      <c r="P529" s="98"/>
    </row>
    <row r="530" spans="2:16" x14ac:dyDescent="0.25">
      <c r="B530" s="148" t="s">
        <v>15</v>
      </c>
      <c r="C530" s="92">
        <v>88325</v>
      </c>
      <c r="D530" s="149" t="s">
        <v>258</v>
      </c>
      <c r="E530" s="150"/>
      <c r="F530" s="150"/>
      <c r="G530" s="150"/>
      <c r="H530" s="150"/>
      <c r="I530" s="150"/>
      <c r="J530" s="151"/>
      <c r="K530" s="89" t="s">
        <v>17</v>
      </c>
      <c r="L530" s="93">
        <v>0.06</v>
      </c>
      <c r="M530" s="152">
        <v>21.02</v>
      </c>
      <c r="N530" s="62">
        <f t="shared" si="16"/>
        <v>1.26</v>
      </c>
      <c r="O530" s="98"/>
      <c r="P530" s="98"/>
    </row>
    <row r="531" spans="2:16" x14ac:dyDescent="0.25">
      <c r="B531" s="153"/>
      <c r="C531" s="154"/>
      <c r="D531" s="38" t="s">
        <v>34</v>
      </c>
      <c r="E531" s="38"/>
      <c r="F531" s="38"/>
      <c r="G531" s="38"/>
      <c r="H531" s="38"/>
      <c r="I531" s="38"/>
      <c r="J531" s="38"/>
      <c r="K531" s="73"/>
      <c r="L531" s="74"/>
      <c r="M531" s="75"/>
      <c r="N531" s="105">
        <f>SUM(N528:N530)</f>
        <v>222.57999999999998</v>
      </c>
      <c r="O531" s="98"/>
      <c r="P531" s="98"/>
    </row>
    <row r="532" spans="2:16" x14ac:dyDescent="0.25">
      <c r="B532" s="183"/>
      <c r="C532" s="183"/>
      <c r="D532" s="184"/>
      <c r="E532" s="184"/>
      <c r="F532" s="184"/>
      <c r="G532" s="184"/>
      <c r="H532" s="184"/>
      <c r="I532" s="184"/>
      <c r="J532" s="184"/>
      <c r="K532" s="184"/>
      <c r="L532" s="184"/>
      <c r="M532" s="184"/>
      <c r="N532" s="184"/>
      <c r="O532" s="98"/>
      <c r="P532" s="98"/>
    </row>
    <row r="533" spans="2:16" x14ac:dyDescent="0.25">
      <c r="B533" s="35" t="s">
        <v>20</v>
      </c>
      <c r="C533" s="37" t="s">
        <v>3</v>
      </c>
      <c r="D533" s="38"/>
      <c r="E533" s="38"/>
      <c r="F533" s="38"/>
      <c r="G533" s="38"/>
      <c r="H533" s="38"/>
      <c r="I533" s="38"/>
      <c r="J533" s="38"/>
      <c r="K533" s="38"/>
      <c r="L533" s="38"/>
      <c r="M533" s="39"/>
      <c r="N533" s="146"/>
      <c r="O533" s="98"/>
      <c r="P533" s="98"/>
    </row>
    <row r="534" spans="2:16" x14ac:dyDescent="0.25">
      <c r="B534" s="131">
        <f>[1]ORÇ!B437</f>
        <v>0</v>
      </c>
      <c r="C534" s="132"/>
      <c r="D534" s="133" t="s">
        <v>259</v>
      </c>
      <c r="E534" s="134"/>
      <c r="F534" s="134"/>
      <c r="G534" s="134"/>
      <c r="H534" s="134"/>
      <c r="I534" s="134"/>
      <c r="J534" s="134"/>
      <c r="K534" s="134"/>
      <c r="L534" s="135"/>
      <c r="M534" s="45" t="s">
        <v>5</v>
      </c>
      <c r="N534" s="136" t="s">
        <v>6</v>
      </c>
    </row>
    <row r="535" spans="2:16" x14ac:dyDescent="0.25">
      <c r="B535" s="37" t="s">
        <v>260</v>
      </c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9"/>
      <c r="O535" s="98"/>
      <c r="P535" s="98"/>
    </row>
    <row r="536" spans="2:16" x14ac:dyDescent="0.25">
      <c r="B536" s="48" t="s">
        <v>8</v>
      </c>
      <c r="C536" s="147" t="s">
        <v>9</v>
      </c>
      <c r="D536" s="49"/>
      <c r="E536" s="50"/>
      <c r="F536" s="50"/>
      <c r="G536" s="50" t="s">
        <v>10</v>
      </c>
      <c r="H536" s="50"/>
      <c r="I536" s="50"/>
      <c r="J536" s="51"/>
      <c r="K536" s="52" t="s">
        <v>11</v>
      </c>
      <c r="L536" s="52" t="s">
        <v>12</v>
      </c>
      <c r="M536" s="45" t="s">
        <v>13</v>
      </c>
      <c r="N536" s="185"/>
      <c r="O536" s="98"/>
      <c r="P536" s="98"/>
    </row>
    <row r="537" spans="2:16" x14ac:dyDescent="0.25">
      <c r="B537" s="186" t="s">
        <v>15</v>
      </c>
      <c r="C537" s="186">
        <v>88264</v>
      </c>
      <c r="D537" s="133" t="s">
        <v>98</v>
      </c>
      <c r="E537" s="134"/>
      <c r="F537" s="134"/>
      <c r="G537" s="134"/>
      <c r="H537" s="134"/>
      <c r="I537" s="134"/>
      <c r="J537" s="135"/>
      <c r="K537" s="89" t="s">
        <v>17</v>
      </c>
      <c r="L537" s="93">
        <v>3</v>
      </c>
      <c r="M537" s="187">
        <v>21.52</v>
      </c>
      <c r="N537" s="62">
        <f t="shared" ref="N537:N539" si="17">ROUND(L537*M537,2)</f>
        <v>64.56</v>
      </c>
      <c r="O537" s="98"/>
      <c r="P537" s="98"/>
    </row>
    <row r="538" spans="2:16" x14ac:dyDescent="0.25">
      <c r="B538" s="89" t="s">
        <v>15</v>
      </c>
      <c r="C538" s="89">
        <v>88247</v>
      </c>
      <c r="D538" s="133" t="s">
        <v>97</v>
      </c>
      <c r="E538" s="134"/>
      <c r="F538" s="134"/>
      <c r="G538" s="134"/>
      <c r="H538" s="134"/>
      <c r="I538" s="134"/>
      <c r="J538" s="135"/>
      <c r="K538" s="89" t="s">
        <v>17</v>
      </c>
      <c r="L538" s="188">
        <v>3</v>
      </c>
      <c r="M538" s="189">
        <v>17.75</v>
      </c>
      <c r="N538" s="62">
        <f t="shared" si="17"/>
        <v>53.25</v>
      </c>
      <c r="O538" s="98"/>
      <c r="P538" s="98"/>
    </row>
    <row r="539" spans="2:16" x14ac:dyDescent="0.25">
      <c r="B539" s="190" t="s">
        <v>41</v>
      </c>
      <c r="C539" s="102"/>
      <c r="D539" s="103" t="s">
        <v>261</v>
      </c>
      <c r="E539" s="87"/>
      <c r="F539" s="87"/>
      <c r="G539" s="87"/>
      <c r="H539" s="87"/>
      <c r="I539" s="87"/>
      <c r="J539" s="88"/>
      <c r="K539" s="89" t="s">
        <v>11</v>
      </c>
      <c r="L539" s="188">
        <v>1</v>
      </c>
      <c r="M539" s="189">
        <v>3499</v>
      </c>
      <c r="N539" s="62">
        <f t="shared" si="17"/>
        <v>3499</v>
      </c>
      <c r="O539" s="98"/>
      <c r="P539" s="98"/>
    </row>
    <row r="540" spans="2:16" x14ac:dyDescent="0.25">
      <c r="B540" s="153"/>
      <c r="C540" s="154"/>
      <c r="D540" s="38" t="s">
        <v>34</v>
      </c>
      <c r="E540" s="38"/>
      <c r="F540" s="38"/>
      <c r="G540" s="38"/>
      <c r="H540" s="38"/>
      <c r="I540" s="38"/>
      <c r="J540" s="38"/>
      <c r="K540" s="73"/>
      <c r="L540" s="74"/>
      <c r="M540" s="75"/>
      <c r="N540" s="105">
        <f>SUM(N537:N539)</f>
        <v>3616.81</v>
      </c>
      <c r="O540" s="98"/>
      <c r="P540" s="98"/>
    </row>
    <row r="541" spans="2:16" x14ac:dyDescent="0.25">
      <c r="B541" s="183"/>
      <c r="C541" s="183"/>
      <c r="D541" s="184"/>
      <c r="E541" s="184"/>
      <c r="F541" s="184"/>
      <c r="G541" s="184"/>
      <c r="H541" s="184"/>
      <c r="I541" s="184"/>
      <c r="J541" s="184"/>
      <c r="K541" s="184"/>
      <c r="L541" s="184"/>
      <c r="M541" s="184"/>
      <c r="N541" s="184"/>
      <c r="O541" s="98"/>
      <c r="P541" s="98"/>
    </row>
    <row r="542" spans="2:16" x14ac:dyDescent="0.25">
      <c r="B542" s="35" t="s">
        <v>2</v>
      </c>
      <c r="C542" s="37" t="s">
        <v>3</v>
      </c>
      <c r="D542" s="38"/>
      <c r="E542" s="38"/>
      <c r="F542" s="38"/>
      <c r="G542" s="38"/>
      <c r="H542" s="38"/>
      <c r="I542" s="38"/>
      <c r="J542" s="38"/>
      <c r="K542" s="38"/>
      <c r="L542" s="38"/>
      <c r="M542" s="39"/>
      <c r="N542" s="146"/>
      <c r="O542" s="98"/>
      <c r="P542" s="98"/>
    </row>
    <row r="543" spans="2:16" x14ac:dyDescent="0.25">
      <c r="B543" s="40" t="str">
        <f>[1]ORÇ!B108</f>
        <v>SINAPI</v>
      </c>
      <c r="C543" s="41"/>
      <c r="D543" s="42" t="s">
        <v>262</v>
      </c>
      <c r="E543" s="43"/>
      <c r="F543" s="43"/>
      <c r="G543" s="43"/>
      <c r="H543" s="43"/>
      <c r="I543" s="43"/>
      <c r="J543" s="43"/>
      <c r="K543" s="43"/>
      <c r="L543" s="44"/>
      <c r="M543" s="45" t="s">
        <v>5</v>
      </c>
      <c r="N543" s="46" t="s">
        <v>263</v>
      </c>
    </row>
    <row r="544" spans="2:16" x14ac:dyDescent="0.25">
      <c r="B544" s="37" t="s">
        <v>264</v>
      </c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9"/>
      <c r="O544" s="98"/>
      <c r="P544" s="98"/>
    </row>
    <row r="545" spans="2:16" x14ac:dyDescent="0.25">
      <c r="B545" s="48" t="s">
        <v>8</v>
      </c>
      <c r="C545" s="147" t="s">
        <v>9</v>
      </c>
      <c r="D545" s="49"/>
      <c r="E545" s="50"/>
      <c r="F545" s="50"/>
      <c r="G545" s="50" t="s">
        <v>10</v>
      </c>
      <c r="H545" s="50"/>
      <c r="I545" s="50"/>
      <c r="J545" s="51"/>
      <c r="K545" s="52" t="s">
        <v>11</v>
      </c>
      <c r="L545" s="52" t="s">
        <v>12</v>
      </c>
      <c r="M545" s="45" t="s">
        <v>13</v>
      </c>
      <c r="N545" s="53" t="s">
        <v>14</v>
      </c>
      <c r="O545" s="98"/>
      <c r="P545" s="98"/>
    </row>
    <row r="546" spans="2:16" x14ac:dyDescent="0.25">
      <c r="B546" s="106" t="s">
        <v>15</v>
      </c>
      <c r="C546" s="191">
        <v>100674</v>
      </c>
      <c r="D546" s="149" t="s">
        <v>265</v>
      </c>
      <c r="E546" s="150"/>
      <c r="F546" s="150"/>
      <c r="G546" s="150"/>
      <c r="H546" s="150"/>
      <c r="I546" s="150"/>
      <c r="J546" s="151"/>
      <c r="K546" s="59" t="s">
        <v>28</v>
      </c>
      <c r="L546" s="120">
        <f>1*1</f>
        <v>1</v>
      </c>
      <c r="M546" s="152">
        <v>453.68</v>
      </c>
      <c r="N546" s="62">
        <f t="shared" ref="N546:N551" si="18">ROUND(L546*M546,2)</f>
        <v>453.68</v>
      </c>
      <c r="O546" s="98"/>
      <c r="P546" s="98"/>
    </row>
    <row r="547" spans="2:16" x14ac:dyDescent="0.25">
      <c r="B547" s="106" t="s">
        <v>26</v>
      </c>
      <c r="C547" s="191">
        <v>11795</v>
      </c>
      <c r="D547" s="149" t="s">
        <v>215</v>
      </c>
      <c r="E547" s="150"/>
      <c r="F547" s="150"/>
      <c r="G547" s="150"/>
      <c r="H547" s="150"/>
      <c r="I547" s="150"/>
      <c r="J547" s="151"/>
      <c r="K547" s="59" t="s">
        <v>28</v>
      </c>
      <c r="L547" s="120">
        <f>1*0.7</f>
        <v>0.7</v>
      </c>
      <c r="M547" s="152">
        <v>475.47</v>
      </c>
      <c r="N547" s="62">
        <f t="shared" si="18"/>
        <v>332.83</v>
      </c>
      <c r="O547" s="98"/>
      <c r="P547" s="98"/>
    </row>
    <row r="548" spans="2:16" x14ac:dyDescent="0.25">
      <c r="B548" s="106" t="s">
        <v>15</v>
      </c>
      <c r="C548" s="191">
        <v>100861</v>
      </c>
      <c r="D548" s="149" t="s">
        <v>266</v>
      </c>
      <c r="E548" s="150"/>
      <c r="F548" s="150"/>
      <c r="G548" s="150"/>
      <c r="H548" s="150"/>
      <c r="I548" s="150"/>
      <c r="J548" s="151"/>
      <c r="K548" s="59" t="s">
        <v>11</v>
      </c>
      <c r="L548" s="120">
        <v>2</v>
      </c>
      <c r="M548" s="152">
        <v>37.880000000000003</v>
      </c>
      <c r="N548" s="62">
        <f t="shared" si="18"/>
        <v>75.760000000000005</v>
      </c>
      <c r="O548" s="98"/>
      <c r="P548" s="98"/>
    </row>
    <row r="549" spans="2:16" x14ac:dyDescent="0.25">
      <c r="B549" s="106" t="s">
        <v>26</v>
      </c>
      <c r="C549" s="191">
        <v>4823</v>
      </c>
      <c r="D549" s="149" t="s">
        <v>213</v>
      </c>
      <c r="E549" s="150"/>
      <c r="F549" s="150"/>
      <c r="G549" s="150"/>
      <c r="H549" s="150"/>
      <c r="I549" s="150"/>
      <c r="J549" s="151"/>
      <c r="K549" s="59" t="s">
        <v>31</v>
      </c>
      <c r="L549" s="120">
        <v>0.8</v>
      </c>
      <c r="M549" s="152">
        <v>49.68</v>
      </c>
      <c r="N549" s="62">
        <f t="shared" si="18"/>
        <v>39.74</v>
      </c>
      <c r="O549" s="98"/>
      <c r="P549" s="98"/>
    </row>
    <row r="550" spans="2:16" x14ac:dyDescent="0.25">
      <c r="B550" s="59" t="s">
        <v>15</v>
      </c>
      <c r="C550" s="191">
        <v>88274</v>
      </c>
      <c r="D550" s="149" t="s">
        <v>221</v>
      </c>
      <c r="E550" s="150"/>
      <c r="F550" s="150"/>
      <c r="G550" s="150"/>
      <c r="H550" s="150"/>
      <c r="I550" s="150"/>
      <c r="J550" s="151"/>
      <c r="K550" s="59" t="s">
        <v>17</v>
      </c>
      <c r="L550" s="120">
        <v>1.5</v>
      </c>
      <c r="M550" s="152">
        <v>21.91</v>
      </c>
      <c r="N550" s="62">
        <f t="shared" si="18"/>
        <v>32.869999999999997</v>
      </c>
      <c r="O550" s="98"/>
      <c r="P550" s="98"/>
    </row>
    <row r="551" spans="2:16" x14ac:dyDescent="0.25">
      <c r="B551" s="59" t="s">
        <v>15</v>
      </c>
      <c r="C551" s="191">
        <v>88316</v>
      </c>
      <c r="D551" s="149" t="s">
        <v>33</v>
      </c>
      <c r="E551" s="150"/>
      <c r="F551" s="150"/>
      <c r="G551" s="150"/>
      <c r="H551" s="150"/>
      <c r="I551" s="150"/>
      <c r="J551" s="150"/>
      <c r="K551" s="59" t="s">
        <v>17</v>
      </c>
      <c r="L551" s="120">
        <v>0.98</v>
      </c>
      <c r="M551" s="152">
        <v>17.09</v>
      </c>
      <c r="N551" s="62">
        <f t="shared" si="18"/>
        <v>16.75</v>
      </c>
      <c r="O551" s="98"/>
      <c r="P551" s="98"/>
    </row>
    <row r="552" spans="2:16" x14ac:dyDescent="0.25">
      <c r="B552" s="71"/>
      <c r="C552" s="72"/>
      <c r="D552" s="38" t="s">
        <v>34</v>
      </c>
      <c r="E552" s="38"/>
      <c r="F552" s="38"/>
      <c r="G552" s="38"/>
      <c r="H552" s="38"/>
      <c r="I552" s="38"/>
      <c r="J552" s="38"/>
      <c r="K552" s="73"/>
      <c r="L552" s="74"/>
      <c r="M552" s="75"/>
      <c r="N552" s="105">
        <f>SUM(N546:N551)</f>
        <v>951.63</v>
      </c>
      <c r="O552" s="98"/>
      <c r="P552" s="98"/>
    </row>
    <row r="553" spans="2:16" x14ac:dyDescent="0.25">
      <c r="B553" s="25"/>
      <c r="C553" s="25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</row>
    <row r="554" spans="2:16" x14ac:dyDescent="0.25">
      <c r="B554" s="35" t="s">
        <v>2</v>
      </c>
      <c r="C554" s="37" t="s">
        <v>3</v>
      </c>
      <c r="D554" s="38"/>
      <c r="E554" s="38"/>
      <c r="F554" s="38"/>
      <c r="G554" s="38"/>
      <c r="H554" s="38"/>
      <c r="I554" s="38"/>
      <c r="J554" s="38"/>
      <c r="K554" s="38"/>
      <c r="L554" s="38"/>
      <c r="M554" s="39"/>
      <c r="N554" s="146"/>
      <c r="O554" s="98"/>
      <c r="P554" s="98"/>
    </row>
    <row r="555" spans="2:16" x14ac:dyDescent="0.25">
      <c r="B555" s="40" t="str">
        <f>[1]ORÇ!B450</f>
        <v>ORSE</v>
      </c>
      <c r="C555" s="41"/>
      <c r="D555" s="42" t="s">
        <v>267</v>
      </c>
      <c r="E555" s="43"/>
      <c r="F555" s="43"/>
      <c r="G555" s="43"/>
      <c r="H555" s="43"/>
      <c r="I555" s="43"/>
      <c r="J555" s="43"/>
      <c r="K555" s="43"/>
      <c r="L555" s="44"/>
      <c r="M555" s="45" t="s">
        <v>5</v>
      </c>
      <c r="N555" s="46" t="s">
        <v>6</v>
      </c>
    </row>
    <row r="556" spans="2:16" x14ac:dyDescent="0.25">
      <c r="B556" s="37" t="s">
        <v>268</v>
      </c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9"/>
      <c r="O556" s="98"/>
      <c r="P556" s="98"/>
    </row>
    <row r="557" spans="2:16" x14ac:dyDescent="0.25">
      <c r="B557" s="48" t="s">
        <v>8</v>
      </c>
      <c r="C557" s="147" t="s">
        <v>9</v>
      </c>
      <c r="D557" s="49"/>
      <c r="E557" s="50"/>
      <c r="F557" s="50"/>
      <c r="G557" s="50" t="s">
        <v>10</v>
      </c>
      <c r="H557" s="50"/>
      <c r="I557" s="50"/>
      <c r="J557" s="51"/>
      <c r="K557" s="52" t="s">
        <v>11</v>
      </c>
      <c r="L557" s="52" t="s">
        <v>12</v>
      </c>
      <c r="M557" s="45" t="s">
        <v>13</v>
      </c>
      <c r="N557" s="53" t="s">
        <v>14</v>
      </c>
      <c r="O557" s="98"/>
      <c r="P557" s="98"/>
    </row>
    <row r="558" spans="2:16" x14ac:dyDescent="0.25">
      <c r="B558" s="106" t="s">
        <v>15</v>
      </c>
      <c r="C558" s="191">
        <v>93358</v>
      </c>
      <c r="D558" s="149" t="s">
        <v>269</v>
      </c>
      <c r="E558" s="150"/>
      <c r="F558" s="150"/>
      <c r="G558" s="150"/>
      <c r="H558" s="150"/>
      <c r="I558" s="150"/>
      <c r="J558" s="151"/>
      <c r="K558" s="59" t="s">
        <v>130</v>
      </c>
      <c r="L558" s="120">
        <f>ROUND((0.2*0.2*0.2*2),2)</f>
        <v>0.02</v>
      </c>
      <c r="M558" s="152">
        <v>67.599999999999994</v>
      </c>
      <c r="N558" s="62">
        <f t="shared" ref="N558:N566" si="19">ROUND(L558*M558,2)</f>
        <v>1.35</v>
      </c>
      <c r="O558" s="98"/>
      <c r="P558" s="98"/>
    </row>
    <row r="559" spans="2:16" x14ac:dyDescent="0.25">
      <c r="B559" s="106" t="s">
        <v>15</v>
      </c>
      <c r="C559" s="191">
        <v>96619</v>
      </c>
      <c r="D559" s="149" t="s">
        <v>270</v>
      </c>
      <c r="E559" s="150"/>
      <c r="F559" s="150"/>
      <c r="G559" s="150"/>
      <c r="H559" s="150"/>
      <c r="I559" s="150"/>
      <c r="J559" s="151"/>
      <c r="K559" s="59" t="s">
        <v>64</v>
      </c>
      <c r="L559" s="120">
        <f>ROUND(((0.2*0.2)*2),2)</f>
        <v>0.08</v>
      </c>
      <c r="M559" s="152">
        <v>31.12</v>
      </c>
      <c r="N559" s="62">
        <f t="shared" si="19"/>
        <v>2.4900000000000002</v>
      </c>
      <c r="O559" s="98"/>
      <c r="P559" s="98"/>
    </row>
    <row r="560" spans="2:16" x14ac:dyDescent="0.25">
      <c r="B560" s="106" t="s">
        <v>15</v>
      </c>
      <c r="C560" s="191">
        <v>96536</v>
      </c>
      <c r="D560" s="149" t="s">
        <v>248</v>
      </c>
      <c r="E560" s="150"/>
      <c r="F560" s="150"/>
      <c r="G560" s="150"/>
      <c r="H560" s="150"/>
      <c r="I560" s="150"/>
      <c r="J560" s="151"/>
      <c r="K560" s="59" t="s">
        <v>64</v>
      </c>
      <c r="L560" s="120">
        <f>ROUND(((0.2+0.15)*8),2)</f>
        <v>2.8</v>
      </c>
      <c r="M560" s="152">
        <v>64.47</v>
      </c>
      <c r="N560" s="62">
        <f t="shared" si="19"/>
        <v>180.52</v>
      </c>
      <c r="O560" s="98"/>
      <c r="P560" s="98"/>
    </row>
    <row r="561" spans="2:16" x14ac:dyDescent="0.25">
      <c r="B561" s="106" t="s">
        <v>15</v>
      </c>
      <c r="C561" s="191">
        <v>102487</v>
      </c>
      <c r="D561" s="149" t="s">
        <v>271</v>
      </c>
      <c r="E561" s="150"/>
      <c r="F561" s="150"/>
      <c r="G561" s="150"/>
      <c r="H561" s="150"/>
      <c r="I561" s="150"/>
      <c r="J561" s="151"/>
      <c r="K561" s="59" t="s">
        <v>130</v>
      </c>
      <c r="L561" s="120">
        <f>ROUND(((0.2*0.2*0.15)*2),2)</f>
        <v>0.01</v>
      </c>
      <c r="M561" s="152">
        <v>571.62</v>
      </c>
      <c r="N561" s="62">
        <f t="shared" si="19"/>
        <v>5.72</v>
      </c>
      <c r="O561" s="98"/>
      <c r="P561" s="98"/>
    </row>
    <row r="562" spans="2:16" x14ac:dyDescent="0.25">
      <c r="B562" s="106" t="s">
        <v>15</v>
      </c>
      <c r="C562" s="191">
        <v>96536</v>
      </c>
      <c r="D562" s="149" t="s">
        <v>248</v>
      </c>
      <c r="E562" s="150"/>
      <c r="F562" s="150"/>
      <c r="G562" s="150"/>
      <c r="H562" s="150"/>
      <c r="I562" s="150"/>
      <c r="J562" s="151"/>
      <c r="K562" s="59" t="s">
        <v>64</v>
      </c>
      <c r="L562" s="120">
        <f>ROUND((0.9+0.36+0.1),2)</f>
        <v>1.36</v>
      </c>
      <c r="M562" s="152">
        <v>64.47</v>
      </c>
      <c r="N562" s="62">
        <f t="shared" si="19"/>
        <v>87.68</v>
      </c>
      <c r="O562" s="98"/>
      <c r="P562" s="98"/>
    </row>
    <row r="563" spans="2:16" x14ac:dyDescent="0.25">
      <c r="B563" s="106" t="s">
        <v>15</v>
      </c>
      <c r="C563" s="191">
        <v>94963</v>
      </c>
      <c r="D563" s="149" t="s">
        <v>24</v>
      </c>
      <c r="E563" s="150"/>
      <c r="F563" s="150"/>
      <c r="G563" s="150"/>
      <c r="H563" s="150"/>
      <c r="I563" s="150"/>
      <c r="J563" s="151"/>
      <c r="K563" s="59" t="s">
        <v>130</v>
      </c>
      <c r="L563" s="120">
        <f>ROUND((0.45*0.1*0.5)+(1.8*0.5*0.1),2)</f>
        <v>0.11</v>
      </c>
      <c r="M563" s="152">
        <v>467.02</v>
      </c>
      <c r="N563" s="62">
        <f t="shared" si="19"/>
        <v>51.37</v>
      </c>
      <c r="O563" s="98"/>
      <c r="P563" s="98"/>
    </row>
    <row r="564" spans="2:16" x14ac:dyDescent="0.25">
      <c r="B564" s="106" t="s">
        <v>15</v>
      </c>
      <c r="C564" s="191">
        <v>92915</v>
      </c>
      <c r="D564" s="149" t="s">
        <v>272</v>
      </c>
      <c r="E564" s="150"/>
      <c r="F564" s="150"/>
      <c r="G564" s="150"/>
      <c r="H564" s="150"/>
      <c r="I564" s="150"/>
      <c r="J564" s="151"/>
      <c r="K564" s="59" t="s">
        <v>31</v>
      </c>
      <c r="L564" s="120">
        <v>4.07</v>
      </c>
      <c r="M564" s="152">
        <v>15.7</v>
      </c>
      <c r="N564" s="62">
        <f t="shared" si="19"/>
        <v>63.9</v>
      </c>
      <c r="O564" s="98"/>
      <c r="P564" s="98"/>
    </row>
    <row r="565" spans="2:16" x14ac:dyDescent="0.25">
      <c r="B565" s="106" t="s">
        <v>15</v>
      </c>
      <c r="C565" s="191">
        <v>92917</v>
      </c>
      <c r="D565" s="149" t="s">
        <v>273</v>
      </c>
      <c r="E565" s="150"/>
      <c r="F565" s="150"/>
      <c r="G565" s="150"/>
      <c r="H565" s="150"/>
      <c r="I565" s="150"/>
      <c r="J565" s="151"/>
      <c r="K565" s="59" t="s">
        <v>31</v>
      </c>
      <c r="L565" s="120">
        <v>11.73</v>
      </c>
      <c r="M565" s="152">
        <v>13.97</v>
      </c>
      <c r="N565" s="62">
        <f t="shared" si="19"/>
        <v>163.87</v>
      </c>
      <c r="O565" s="98"/>
      <c r="P565" s="98"/>
    </row>
    <row r="566" spans="2:16" x14ac:dyDescent="0.25">
      <c r="B566" s="106" t="s">
        <v>15</v>
      </c>
      <c r="C566" s="191">
        <v>102491</v>
      </c>
      <c r="D566" s="149" t="s">
        <v>274</v>
      </c>
      <c r="E566" s="150"/>
      <c r="F566" s="150"/>
      <c r="G566" s="150"/>
      <c r="H566" s="150"/>
      <c r="I566" s="150"/>
      <c r="J566" s="151"/>
      <c r="K566" s="59" t="s">
        <v>64</v>
      </c>
      <c r="L566" s="120">
        <f>ROUND((((0.45*0.5)*2)+((1.8*0.5)*2)),2)</f>
        <v>2.25</v>
      </c>
      <c r="M566" s="152">
        <v>16.37</v>
      </c>
      <c r="N566" s="62">
        <f t="shared" si="19"/>
        <v>36.83</v>
      </c>
      <c r="O566" s="98"/>
      <c r="P566" s="98"/>
    </row>
    <row r="567" spans="2:16" x14ac:dyDescent="0.25">
      <c r="B567" s="71"/>
      <c r="C567" s="72"/>
      <c r="D567" s="38" t="s">
        <v>34</v>
      </c>
      <c r="E567" s="38"/>
      <c r="F567" s="38"/>
      <c r="G567" s="38"/>
      <c r="H567" s="38"/>
      <c r="I567" s="38"/>
      <c r="J567" s="38"/>
      <c r="K567" s="73"/>
      <c r="L567" s="74"/>
      <c r="M567" s="75"/>
      <c r="N567" s="105">
        <f>SUM(N558:N566)</f>
        <v>593.73</v>
      </c>
      <c r="O567" s="98"/>
      <c r="P567" s="98"/>
    </row>
    <row r="568" spans="2:16" x14ac:dyDescent="0.25">
      <c r="B568" s="25"/>
      <c r="C568" s="25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</row>
    <row r="569" spans="2:16" x14ac:dyDescent="0.25">
      <c r="B569" s="83" t="s">
        <v>20</v>
      </c>
      <c r="C569" s="37" t="s">
        <v>3</v>
      </c>
      <c r="D569" s="38"/>
      <c r="E569" s="38"/>
      <c r="F569" s="38"/>
      <c r="G569" s="38"/>
      <c r="H569" s="38"/>
      <c r="I569" s="38"/>
      <c r="J569" s="38"/>
      <c r="K569" s="38"/>
      <c r="L569" s="38"/>
      <c r="M569" s="39"/>
      <c r="N569" s="146"/>
    </row>
    <row r="570" spans="2:16" x14ac:dyDescent="0.25">
      <c r="B570" s="40" t="str">
        <f>[1]ORÇ!B390</f>
        <v>SINAPI</v>
      </c>
      <c r="C570" s="41"/>
      <c r="D570" s="42" t="s">
        <v>275</v>
      </c>
      <c r="E570" s="43"/>
      <c r="F570" s="43"/>
      <c r="G570" s="43"/>
      <c r="H570" s="43"/>
      <c r="I570" s="43"/>
      <c r="J570" s="43"/>
      <c r="K570" s="43"/>
      <c r="L570" s="44"/>
      <c r="M570" s="45" t="s">
        <v>5</v>
      </c>
      <c r="N570" s="46" t="s">
        <v>22</v>
      </c>
    </row>
    <row r="571" spans="2:16" x14ac:dyDescent="0.25">
      <c r="B571" s="47" t="s">
        <v>276</v>
      </c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9"/>
    </row>
    <row r="572" spans="2:16" x14ac:dyDescent="0.25">
      <c r="B572" s="84" t="s">
        <v>8</v>
      </c>
      <c r="C572" s="52" t="s">
        <v>9</v>
      </c>
      <c r="D572" s="115" t="s">
        <v>10</v>
      </c>
      <c r="E572" s="116"/>
      <c r="F572" s="116"/>
      <c r="G572" s="116"/>
      <c r="H572" s="116"/>
      <c r="I572" s="116"/>
      <c r="J572" s="117"/>
      <c r="K572" s="52" t="s">
        <v>11</v>
      </c>
      <c r="L572" s="52" t="s">
        <v>12</v>
      </c>
      <c r="M572" s="192" t="s">
        <v>13</v>
      </c>
      <c r="N572" s="45" t="s">
        <v>14</v>
      </c>
      <c r="P572" s="193"/>
    </row>
    <row r="573" spans="2:16" x14ac:dyDescent="0.25">
      <c r="B573" s="85" t="s">
        <v>26</v>
      </c>
      <c r="C573" s="59">
        <v>7348</v>
      </c>
      <c r="D573" s="194" t="s">
        <v>277</v>
      </c>
      <c r="E573" s="194"/>
      <c r="F573" s="194"/>
      <c r="G573" s="194"/>
      <c r="H573" s="194"/>
      <c r="I573" s="194"/>
      <c r="J573" s="194"/>
      <c r="K573" s="59" t="s">
        <v>278</v>
      </c>
      <c r="L573" s="120">
        <v>0.02</v>
      </c>
      <c r="M573" s="195">
        <v>16.52</v>
      </c>
      <c r="N573" s="62">
        <f t="shared" ref="N573:N576" si="20">ROUND(L573*M573,2)</f>
        <v>0.33</v>
      </c>
      <c r="P573" s="62"/>
    </row>
    <row r="574" spans="2:16" x14ac:dyDescent="0.25">
      <c r="B574" s="85" t="s">
        <v>26</v>
      </c>
      <c r="C574" s="59">
        <v>12815</v>
      </c>
      <c r="D574" s="194" t="s">
        <v>279</v>
      </c>
      <c r="E574" s="194"/>
      <c r="F574" s="194"/>
      <c r="G574" s="194"/>
      <c r="H574" s="194"/>
      <c r="I574" s="194"/>
      <c r="J574" s="194"/>
      <c r="K574" s="59" t="s">
        <v>75</v>
      </c>
      <c r="L574" s="120">
        <v>0.04</v>
      </c>
      <c r="M574" s="195">
        <v>5.98</v>
      </c>
      <c r="N574" s="62">
        <f t="shared" si="20"/>
        <v>0.24</v>
      </c>
      <c r="P574" s="62"/>
    </row>
    <row r="575" spans="2:16" x14ac:dyDescent="0.25">
      <c r="B575" s="85" t="s">
        <v>15</v>
      </c>
      <c r="C575" s="59">
        <v>88310</v>
      </c>
      <c r="D575" s="194" t="s">
        <v>280</v>
      </c>
      <c r="E575" s="194"/>
      <c r="F575" s="194"/>
      <c r="G575" s="194"/>
      <c r="H575" s="194"/>
      <c r="I575" s="194"/>
      <c r="J575" s="194"/>
      <c r="K575" s="59" t="s">
        <v>17</v>
      </c>
      <c r="L575" s="120">
        <v>0.24</v>
      </c>
      <c r="M575" s="195">
        <v>22.38</v>
      </c>
      <c r="N575" s="62">
        <f t="shared" si="20"/>
        <v>5.37</v>
      </c>
      <c r="P575" s="62"/>
    </row>
    <row r="576" spans="2:16" x14ac:dyDescent="0.25">
      <c r="B576" s="85" t="s">
        <v>15</v>
      </c>
      <c r="C576" s="59" t="s">
        <v>281</v>
      </c>
      <c r="D576" s="194" t="s">
        <v>33</v>
      </c>
      <c r="E576" s="194"/>
      <c r="F576" s="194"/>
      <c r="G576" s="194"/>
      <c r="H576" s="194"/>
      <c r="I576" s="194"/>
      <c r="J576" s="194"/>
      <c r="K576" s="59" t="s">
        <v>17</v>
      </c>
      <c r="L576" s="120">
        <v>0.1</v>
      </c>
      <c r="M576" s="195">
        <v>17.09</v>
      </c>
      <c r="N576" s="62">
        <f t="shared" si="20"/>
        <v>1.71</v>
      </c>
      <c r="P576" s="62"/>
    </row>
    <row r="577" spans="2:16" x14ac:dyDescent="0.25">
      <c r="B577" s="196"/>
      <c r="C577" s="197"/>
      <c r="D577" s="37" t="s">
        <v>34</v>
      </c>
      <c r="E577" s="38"/>
      <c r="F577" s="38"/>
      <c r="G577" s="38"/>
      <c r="H577" s="38"/>
      <c r="I577" s="38"/>
      <c r="J577" s="38"/>
      <c r="K577" s="73"/>
      <c r="L577" s="74"/>
      <c r="M577" s="198"/>
      <c r="N577" s="76">
        <f>SUM(N573:N576)</f>
        <v>7.65</v>
      </c>
    </row>
    <row r="578" spans="2:16" x14ac:dyDescent="0.25">
      <c r="B578" s="25"/>
      <c r="C578" s="25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</row>
    <row r="579" spans="2:16" x14ac:dyDescent="0.25">
      <c r="B579" s="83" t="s">
        <v>20</v>
      </c>
      <c r="C579" s="37" t="s">
        <v>3</v>
      </c>
      <c r="D579" s="38"/>
      <c r="E579" s="38"/>
      <c r="F579" s="38"/>
      <c r="G579" s="38"/>
      <c r="H579" s="38"/>
      <c r="I579" s="38"/>
      <c r="J579" s="38"/>
      <c r="K579" s="38"/>
      <c r="L579" s="38"/>
      <c r="M579" s="39"/>
      <c r="N579" s="146"/>
    </row>
    <row r="580" spans="2:16" x14ac:dyDescent="0.25">
      <c r="B580" s="40">
        <f>[1]ORÇ!B443</f>
        <v>0</v>
      </c>
      <c r="C580" s="41"/>
      <c r="D580" s="42" t="s">
        <v>282</v>
      </c>
      <c r="E580" s="43"/>
      <c r="F580" s="43"/>
      <c r="G580" s="43"/>
      <c r="H580" s="43"/>
      <c r="I580" s="43"/>
      <c r="J580" s="43"/>
      <c r="K580" s="43"/>
      <c r="L580" s="44"/>
      <c r="M580" s="45" t="s">
        <v>5</v>
      </c>
      <c r="N580" s="199" t="s">
        <v>22</v>
      </c>
    </row>
    <row r="581" spans="2:16" x14ac:dyDescent="0.25">
      <c r="B581" s="47" t="s">
        <v>283</v>
      </c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9"/>
    </row>
    <row r="582" spans="2:16" x14ac:dyDescent="0.25">
      <c r="B582" s="52" t="s">
        <v>8</v>
      </c>
      <c r="C582" s="52" t="s">
        <v>9</v>
      </c>
      <c r="D582" s="122" t="s">
        <v>10</v>
      </c>
      <c r="E582" s="123"/>
      <c r="F582" s="123"/>
      <c r="G582" s="123"/>
      <c r="H582" s="123"/>
      <c r="I582" s="123"/>
      <c r="J582" s="124"/>
      <c r="K582" s="52" t="s">
        <v>11</v>
      </c>
      <c r="L582" s="52" t="s">
        <v>12</v>
      </c>
      <c r="M582" s="192" t="s">
        <v>13</v>
      </c>
      <c r="N582" s="45" t="s">
        <v>14</v>
      </c>
    </row>
    <row r="583" spans="2:16" x14ac:dyDescent="0.25">
      <c r="B583" s="59" t="s">
        <v>15</v>
      </c>
      <c r="C583" s="59">
        <v>96523</v>
      </c>
      <c r="D583" s="200" t="s">
        <v>284</v>
      </c>
      <c r="E583" s="201"/>
      <c r="F583" s="201"/>
      <c r="G583" s="201"/>
      <c r="H583" s="201"/>
      <c r="I583" s="201"/>
      <c r="J583" s="202"/>
      <c r="K583" s="59" t="s">
        <v>25</v>
      </c>
      <c r="L583" s="125">
        <f>ROUND(((0.4*0.4*0.65)*0.5)+(0.3*0.3*1),2)</f>
        <v>0.14000000000000001</v>
      </c>
      <c r="M583" s="203">
        <v>77.5</v>
      </c>
      <c r="N583" s="62">
        <f t="shared" ref="N583:N594" si="21">ROUND(L583*M583,2)</f>
        <v>10.85</v>
      </c>
    </row>
    <row r="584" spans="2:16" x14ac:dyDescent="0.25">
      <c r="B584" s="59" t="s">
        <v>15</v>
      </c>
      <c r="C584" s="59">
        <v>96619</v>
      </c>
      <c r="D584" s="200" t="s">
        <v>270</v>
      </c>
      <c r="E584" s="201"/>
      <c r="F584" s="201"/>
      <c r="G584" s="201"/>
      <c r="H584" s="201"/>
      <c r="I584" s="201"/>
      <c r="J584" s="202"/>
      <c r="K584" s="59" t="s">
        <v>28</v>
      </c>
      <c r="L584" s="125">
        <f>ROUND(((0.4*0.4)+(0.3*1)),2)</f>
        <v>0.46</v>
      </c>
      <c r="M584" s="203">
        <v>31.12</v>
      </c>
      <c r="N584" s="62">
        <f t="shared" si="21"/>
        <v>14.32</v>
      </c>
    </row>
    <row r="585" spans="2:16" x14ac:dyDescent="0.25">
      <c r="B585" s="59" t="s">
        <v>15</v>
      </c>
      <c r="C585" s="59">
        <v>96536</v>
      </c>
      <c r="D585" s="200" t="s">
        <v>248</v>
      </c>
      <c r="E585" s="201"/>
      <c r="F585" s="201"/>
      <c r="G585" s="201"/>
      <c r="H585" s="201"/>
      <c r="I585" s="201"/>
      <c r="J585" s="202"/>
      <c r="K585" s="59" t="s">
        <v>28</v>
      </c>
      <c r="L585" s="125">
        <f>ROUND((((0.3*0.3)*0.5)+(0.3+0.3)*1),2)</f>
        <v>0.65</v>
      </c>
      <c r="M585" s="204">
        <v>64.47</v>
      </c>
      <c r="N585" s="62">
        <f t="shared" si="21"/>
        <v>41.91</v>
      </c>
    </row>
    <row r="586" spans="2:16" x14ac:dyDescent="0.25">
      <c r="B586" s="59" t="s">
        <v>15</v>
      </c>
      <c r="C586" s="59">
        <v>102487</v>
      </c>
      <c r="D586" s="200" t="s">
        <v>271</v>
      </c>
      <c r="E586" s="201"/>
      <c r="F586" s="201"/>
      <c r="G586" s="201"/>
      <c r="H586" s="201"/>
      <c r="I586" s="201"/>
      <c r="J586" s="202"/>
      <c r="K586" s="59" t="s">
        <v>25</v>
      </c>
      <c r="L586" s="128">
        <f>ROUND((0.3*0.2*1)+(0.3*0.3*0.6),2)</f>
        <v>0.11</v>
      </c>
      <c r="M586" s="204">
        <v>571.62</v>
      </c>
      <c r="N586" s="62">
        <f t="shared" si="21"/>
        <v>62.88</v>
      </c>
    </row>
    <row r="587" spans="2:16" x14ac:dyDescent="0.25">
      <c r="B587" s="86" t="s">
        <v>26</v>
      </c>
      <c r="C587" s="59">
        <v>7694</v>
      </c>
      <c r="D587" s="194" t="s">
        <v>285</v>
      </c>
      <c r="E587" s="194"/>
      <c r="F587" s="194"/>
      <c r="G587" s="194"/>
      <c r="H587" s="194"/>
      <c r="I587" s="194"/>
      <c r="J587" s="194"/>
      <c r="K587" s="120" t="s">
        <v>48</v>
      </c>
      <c r="L587" s="125">
        <f>(2+0.6)/2.5</f>
        <v>1.04</v>
      </c>
      <c r="M587" s="195">
        <v>166.68</v>
      </c>
      <c r="N587" s="62">
        <f t="shared" si="21"/>
        <v>173.35</v>
      </c>
      <c r="O587" t="s">
        <v>286</v>
      </c>
    </row>
    <row r="588" spans="2:16" x14ac:dyDescent="0.25">
      <c r="B588" s="86" t="s">
        <v>26</v>
      </c>
      <c r="C588" s="59">
        <v>10935</v>
      </c>
      <c r="D588" s="194" t="s">
        <v>287</v>
      </c>
      <c r="E588" s="194"/>
      <c r="F588" s="194"/>
      <c r="G588" s="194"/>
      <c r="H588" s="194"/>
      <c r="I588" s="194"/>
      <c r="J588" s="194"/>
      <c r="K588" s="120" t="s">
        <v>28</v>
      </c>
      <c r="L588" s="125">
        <f>(2*1)</f>
        <v>2</v>
      </c>
      <c r="M588" s="195">
        <v>47.46</v>
      </c>
      <c r="N588" s="62">
        <f t="shared" si="21"/>
        <v>94.92</v>
      </c>
    </row>
    <row r="589" spans="2:16" x14ac:dyDescent="0.25">
      <c r="B589" s="54" t="s">
        <v>15</v>
      </c>
      <c r="C589" s="59">
        <v>100758</v>
      </c>
      <c r="D589" s="108" t="s">
        <v>62</v>
      </c>
      <c r="E589" s="108"/>
      <c r="F589" s="108"/>
      <c r="G589" s="108"/>
      <c r="H589" s="108"/>
      <c r="I589" s="108"/>
      <c r="J589" s="108"/>
      <c r="K589" s="128" t="s">
        <v>28</v>
      </c>
      <c r="L589" s="109">
        <f>L588</f>
        <v>2</v>
      </c>
      <c r="M589" s="61">
        <v>38.119999999999997</v>
      </c>
      <c r="N589" s="62">
        <f t="shared" si="21"/>
        <v>76.239999999999995</v>
      </c>
    </row>
    <row r="590" spans="2:16" x14ac:dyDescent="0.25">
      <c r="B590" s="54" t="s">
        <v>26</v>
      </c>
      <c r="C590" s="205">
        <v>43130</v>
      </c>
      <c r="D590" s="206" t="s">
        <v>288</v>
      </c>
      <c r="E590" s="207"/>
      <c r="F590" s="207"/>
      <c r="G590" s="207"/>
      <c r="H590" s="207"/>
      <c r="I590" s="207"/>
      <c r="J590" s="208"/>
      <c r="K590" s="128" t="s">
        <v>31</v>
      </c>
      <c r="L590" s="109">
        <v>0.08</v>
      </c>
      <c r="M590" s="61">
        <v>23.43</v>
      </c>
      <c r="N590" s="62">
        <f t="shared" si="21"/>
        <v>1.87</v>
      </c>
      <c r="P590" s="209">
        <f>N595/2</f>
        <v>281.72500000000002</v>
      </c>
    </row>
    <row r="591" spans="2:16" x14ac:dyDescent="0.25">
      <c r="B591" s="54" t="s">
        <v>26</v>
      </c>
      <c r="C591" s="205">
        <v>10997</v>
      </c>
      <c r="D591" s="210" t="s">
        <v>289</v>
      </c>
      <c r="E591" s="211"/>
      <c r="F591" s="211"/>
      <c r="G591" s="211"/>
      <c r="H591" s="211"/>
      <c r="I591" s="211"/>
      <c r="J591" s="212"/>
      <c r="K591" s="128" t="s">
        <v>31</v>
      </c>
      <c r="L591" s="109">
        <v>0.25</v>
      </c>
      <c r="M591" s="213">
        <v>33</v>
      </c>
      <c r="N591" s="62">
        <f t="shared" si="21"/>
        <v>8.25</v>
      </c>
    </row>
    <row r="592" spans="2:16" x14ac:dyDescent="0.25">
      <c r="B592" s="86" t="s">
        <v>15</v>
      </c>
      <c r="C592" s="59">
        <v>88315</v>
      </c>
      <c r="D592" s="56" t="s">
        <v>290</v>
      </c>
      <c r="E592" s="57"/>
      <c r="F592" s="57"/>
      <c r="G592" s="57"/>
      <c r="H592" s="57"/>
      <c r="I592" s="57"/>
      <c r="J592" s="58"/>
      <c r="K592" s="120" t="s">
        <v>17</v>
      </c>
      <c r="L592" s="125">
        <v>1</v>
      </c>
      <c r="M592" s="195">
        <v>21.19</v>
      </c>
      <c r="N592" s="62">
        <f t="shared" si="21"/>
        <v>21.19</v>
      </c>
    </row>
    <row r="593" spans="2:16" x14ac:dyDescent="0.25">
      <c r="B593" s="86" t="s">
        <v>15</v>
      </c>
      <c r="C593" s="59" t="s">
        <v>291</v>
      </c>
      <c r="D593" s="194" t="s">
        <v>90</v>
      </c>
      <c r="E593" s="194"/>
      <c r="F593" s="194"/>
      <c r="G593" s="194"/>
      <c r="H593" s="194"/>
      <c r="I593" s="194"/>
      <c r="J593" s="194"/>
      <c r="K593" s="120" t="s">
        <v>17</v>
      </c>
      <c r="L593" s="125">
        <v>1.5</v>
      </c>
      <c r="M593" s="195">
        <v>17.13</v>
      </c>
      <c r="N593" s="62">
        <f t="shared" si="21"/>
        <v>25.7</v>
      </c>
    </row>
    <row r="594" spans="2:16" x14ac:dyDescent="0.25">
      <c r="B594" s="86" t="s">
        <v>15</v>
      </c>
      <c r="C594" s="59" t="s">
        <v>237</v>
      </c>
      <c r="D594" s="194" t="s">
        <v>32</v>
      </c>
      <c r="E594" s="194"/>
      <c r="F594" s="194"/>
      <c r="G594" s="194"/>
      <c r="H594" s="194"/>
      <c r="I594" s="194"/>
      <c r="J594" s="194"/>
      <c r="K594" s="120" t="s">
        <v>17</v>
      </c>
      <c r="L594" s="125">
        <v>1.5</v>
      </c>
      <c r="M594" s="195">
        <v>21.31</v>
      </c>
      <c r="N594" s="62">
        <f t="shared" si="21"/>
        <v>31.97</v>
      </c>
    </row>
    <row r="595" spans="2:16" x14ac:dyDescent="0.25">
      <c r="B595" s="196"/>
      <c r="C595" s="197"/>
      <c r="D595" s="37" t="s">
        <v>34</v>
      </c>
      <c r="E595" s="38"/>
      <c r="F595" s="38"/>
      <c r="G595" s="38"/>
      <c r="H595" s="38"/>
      <c r="I595" s="38"/>
      <c r="J595" s="38"/>
      <c r="K595" s="73"/>
      <c r="L595" s="74"/>
      <c r="M595" s="198"/>
      <c r="N595" s="105">
        <f>SUM(N583:N594)</f>
        <v>563.45000000000005</v>
      </c>
    </row>
    <row r="596" spans="2:16" x14ac:dyDescent="0.25">
      <c r="B596" s="25"/>
      <c r="C596" s="25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</row>
    <row r="597" spans="2:16" x14ac:dyDescent="0.25">
      <c r="B597" s="83" t="s">
        <v>20</v>
      </c>
      <c r="C597" s="37" t="s">
        <v>3</v>
      </c>
      <c r="D597" s="38"/>
      <c r="E597" s="38"/>
      <c r="F597" s="38"/>
      <c r="G597" s="38"/>
      <c r="H597" s="38"/>
      <c r="I597" s="38"/>
      <c r="J597" s="38"/>
      <c r="K597" s="38"/>
      <c r="L597" s="38"/>
      <c r="M597" s="39"/>
      <c r="N597" s="146"/>
    </row>
    <row r="598" spans="2:16" x14ac:dyDescent="0.25">
      <c r="B598" s="40" t="str">
        <f>[1]ORÇ!B481</f>
        <v>COMPOSIÇÃO 78</v>
      </c>
      <c r="C598" s="41"/>
      <c r="D598" s="42" t="s">
        <v>292</v>
      </c>
      <c r="E598" s="43"/>
      <c r="F598" s="43"/>
      <c r="G598" s="43"/>
      <c r="H598" s="43"/>
      <c r="I598" s="43"/>
      <c r="J598" s="43"/>
      <c r="K598" s="43"/>
      <c r="L598" s="44"/>
      <c r="M598" s="45" t="s">
        <v>5</v>
      </c>
      <c r="N598" s="199" t="s">
        <v>6</v>
      </c>
    </row>
    <row r="599" spans="2:16" x14ac:dyDescent="0.25">
      <c r="B599" s="47" t="s">
        <v>293</v>
      </c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9"/>
    </row>
    <row r="600" spans="2:16" x14ac:dyDescent="0.25">
      <c r="B600" s="84" t="s">
        <v>8</v>
      </c>
      <c r="C600" s="52" t="s">
        <v>9</v>
      </c>
      <c r="D600" s="50"/>
      <c r="E600" s="50"/>
      <c r="F600" s="50"/>
      <c r="G600" s="50" t="s">
        <v>10</v>
      </c>
      <c r="H600" s="50"/>
      <c r="I600" s="50"/>
      <c r="J600" s="26"/>
      <c r="K600" s="52" t="s">
        <v>11</v>
      </c>
      <c r="L600" s="52" t="s">
        <v>12</v>
      </c>
      <c r="M600" s="192" t="s">
        <v>13</v>
      </c>
      <c r="N600" s="45" t="s">
        <v>14</v>
      </c>
    </row>
    <row r="601" spans="2:16" x14ac:dyDescent="0.25">
      <c r="B601" s="85" t="s">
        <v>26</v>
      </c>
      <c r="C601" s="59">
        <v>40535</v>
      </c>
      <c r="D601" s="42" t="s">
        <v>294</v>
      </c>
      <c r="E601" s="43"/>
      <c r="F601" s="43"/>
      <c r="G601" s="43"/>
      <c r="H601" s="43"/>
      <c r="I601" s="43"/>
      <c r="J601" s="44"/>
      <c r="K601" s="120" t="s">
        <v>295</v>
      </c>
      <c r="L601" s="125">
        <f>R603</f>
        <v>0</v>
      </c>
      <c r="M601" s="61">
        <v>11.69</v>
      </c>
      <c r="N601" s="62">
        <f t="shared" ref="N601:N611" si="22">ROUND(L601*M601,2)</f>
        <v>0</v>
      </c>
    </row>
    <row r="602" spans="2:16" x14ac:dyDescent="0.25">
      <c r="B602" s="85" t="s">
        <v>26</v>
      </c>
      <c r="C602" s="59">
        <v>3992</v>
      </c>
      <c r="D602" s="133" t="s">
        <v>296</v>
      </c>
      <c r="E602" s="134"/>
      <c r="F602" s="134"/>
      <c r="G602" s="134"/>
      <c r="H602" s="134"/>
      <c r="I602" s="134"/>
      <c r="J602" s="135"/>
      <c r="K602" s="120" t="s">
        <v>22</v>
      </c>
      <c r="L602" s="125">
        <f>(2.05+6.13)*19</f>
        <v>155.41999999999999</v>
      </c>
      <c r="M602" s="61">
        <v>24.85</v>
      </c>
      <c r="N602" s="62">
        <f t="shared" si="22"/>
        <v>3862.19</v>
      </c>
      <c r="P602" s="98" t="s">
        <v>297</v>
      </c>
    </row>
    <row r="603" spans="2:16" x14ac:dyDescent="0.25">
      <c r="B603" s="85" t="s">
        <v>26</v>
      </c>
      <c r="C603" s="59">
        <v>39424</v>
      </c>
      <c r="D603" s="42" t="s">
        <v>298</v>
      </c>
      <c r="E603" s="43"/>
      <c r="F603" s="43"/>
      <c r="G603" s="43"/>
      <c r="H603" s="43"/>
      <c r="I603" s="43"/>
      <c r="J603" s="44"/>
      <c r="K603" s="120" t="s">
        <v>22</v>
      </c>
      <c r="L603" s="125">
        <f>L602</f>
        <v>155.41999999999999</v>
      </c>
      <c r="M603" s="61">
        <v>4.2300000000000004</v>
      </c>
      <c r="N603" s="62">
        <f t="shared" si="22"/>
        <v>657.43</v>
      </c>
      <c r="P603" s="98">
        <f>(0.5*15)+6.26+2.05+6.13</f>
        <v>21.939999999999998</v>
      </c>
    </row>
    <row r="604" spans="2:16" x14ac:dyDescent="0.25">
      <c r="B604" s="85" t="s">
        <v>26</v>
      </c>
      <c r="C604" s="59" t="s">
        <v>299</v>
      </c>
      <c r="D604" s="133" t="s">
        <v>300</v>
      </c>
      <c r="E604" s="134"/>
      <c r="F604" s="134"/>
      <c r="G604" s="134"/>
      <c r="H604" s="134"/>
      <c r="I604" s="134"/>
      <c r="J604" s="135"/>
      <c r="K604" s="120" t="s">
        <v>295</v>
      </c>
      <c r="L604" s="125">
        <f>R606</f>
        <v>0</v>
      </c>
      <c r="M604" s="61">
        <v>9.42</v>
      </c>
      <c r="N604" s="62">
        <f t="shared" si="22"/>
        <v>0</v>
      </c>
      <c r="P604" s="98"/>
    </row>
    <row r="605" spans="2:16" x14ac:dyDescent="0.25">
      <c r="B605" s="85" t="s">
        <v>15</v>
      </c>
      <c r="C605" s="59">
        <v>90283</v>
      </c>
      <c r="D605" s="133" t="s">
        <v>301</v>
      </c>
      <c r="E605" s="134"/>
      <c r="F605" s="134"/>
      <c r="G605" s="134"/>
      <c r="H605" s="134"/>
      <c r="I605" s="134"/>
      <c r="J605" s="135"/>
      <c r="K605" s="120" t="s">
        <v>302</v>
      </c>
      <c r="L605" s="214">
        <f>30*(0.15*0.45*0.15)</f>
        <v>0.30375000000000002</v>
      </c>
      <c r="M605" s="61">
        <v>623.27</v>
      </c>
      <c r="N605" s="62">
        <f t="shared" si="22"/>
        <v>189.32</v>
      </c>
      <c r="P605" s="98" t="s">
        <v>303</v>
      </c>
    </row>
    <row r="606" spans="2:16" x14ac:dyDescent="0.25">
      <c r="B606" s="106" t="s">
        <v>26</v>
      </c>
      <c r="C606" s="107">
        <v>11975</v>
      </c>
      <c r="D606" s="133" t="s">
        <v>304</v>
      </c>
      <c r="E606" s="134"/>
      <c r="F606" s="134"/>
      <c r="G606" s="134"/>
      <c r="H606" s="134"/>
      <c r="I606" s="134"/>
      <c r="J606" s="135"/>
      <c r="K606" s="128" t="s">
        <v>6</v>
      </c>
      <c r="L606" s="109">
        <v>30</v>
      </c>
      <c r="M606" s="61">
        <v>25.41</v>
      </c>
      <c r="N606" s="62">
        <f t="shared" si="22"/>
        <v>762.3</v>
      </c>
      <c r="P606">
        <f>(0.13*0.25)*30</f>
        <v>0.97500000000000009</v>
      </c>
    </row>
    <row r="607" spans="2:16" x14ac:dyDescent="0.25">
      <c r="B607" s="55" t="s">
        <v>15</v>
      </c>
      <c r="C607" s="107" t="s">
        <v>305</v>
      </c>
      <c r="D607" s="133" t="s">
        <v>306</v>
      </c>
      <c r="E607" s="134"/>
      <c r="F607" s="134"/>
      <c r="G607" s="134"/>
      <c r="H607" s="134"/>
      <c r="I607" s="134"/>
      <c r="J607" s="135"/>
      <c r="K607" s="110" t="s">
        <v>263</v>
      </c>
      <c r="L607" s="111">
        <f>(L602*0.3)*2</f>
        <v>93.251999999999995</v>
      </c>
      <c r="M607" s="61">
        <v>18.28</v>
      </c>
      <c r="N607" s="62">
        <f t="shared" si="22"/>
        <v>1704.65</v>
      </c>
      <c r="P607" s="98"/>
    </row>
    <row r="608" spans="2:16" x14ac:dyDescent="0.25">
      <c r="B608" s="55" t="s">
        <v>15</v>
      </c>
      <c r="C608" s="107">
        <v>100722</v>
      </c>
      <c r="D608" s="133" t="s">
        <v>307</v>
      </c>
      <c r="E608" s="134"/>
      <c r="F608" s="134"/>
      <c r="G608" s="134"/>
      <c r="H608" s="134"/>
      <c r="I608" s="134"/>
      <c r="J608" s="135"/>
      <c r="K608" s="110" t="s">
        <v>263</v>
      </c>
      <c r="L608" s="111">
        <f>R610</f>
        <v>0</v>
      </c>
      <c r="M608" s="61">
        <v>18.649999999999999</v>
      </c>
      <c r="N608" s="62">
        <f t="shared" si="22"/>
        <v>0</v>
      </c>
    </row>
    <row r="609" spans="2:16" x14ac:dyDescent="0.25">
      <c r="B609" s="55" t="s">
        <v>15</v>
      </c>
      <c r="C609" s="107">
        <v>102213</v>
      </c>
      <c r="D609" s="133" t="s">
        <v>308</v>
      </c>
      <c r="E609" s="134"/>
      <c r="F609" s="134"/>
      <c r="G609" s="134"/>
      <c r="H609" s="134"/>
      <c r="I609" s="134"/>
      <c r="J609" s="135"/>
      <c r="K609" s="110" t="s">
        <v>263</v>
      </c>
      <c r="L609" s="111">
        <f>L602*0.3*2</f>
        <v>93.251999999999995</v>
      </c>
      <c r="M609" s="61">
        <v>16.3</v>
      </c>
      <c r="N609" s="62">
        <f t="shared" si="22"/>
        <v>1520.01</v>
      </c>
      <c r="P609" s="98" t="s">
        <v>309</v>
      </c>
    </row>
    <row r="610" spans="2:16" x14ac:dyDescent="0.25">
      <c r="B610" s="55" t="s">
        <v>15</v>
      </c>
      <c r="C610" s="107">
        <v>88251</v>
      </c>
      <c r="D610" s="215" t="s">
        <v>310</v>
      </c>
      <c r="E610" s="216"/>
      <c r="F610" s="216"/>
      <c r="G610" s="216"/>
      <c r="H610" s="216"/>
      <c r="I610" s="216"/>
      <c r="J610" s="217"/>
      <c r="K610" s="110" t="s">
        <v>17</v>
      </c>
      <c r="L610" s="125">
        <v>120</v>
      </c>
      <c r="M610" s="61">
        <v>17.5</v>
      </c>
      <c r="N610" s="62">
        <f t="shared" si="22"/>
        <v>2100</v>
      </c>
      <c r="P610" s="98">
        <f>(0.075*2)</f>
        <v>0.15</v>
      </c>
    </row>
    <row r="611" spans="2:16" x14ac:dyDescent="0.25">
      <c r="B611" s="55" t="s">
        <v>15</v>
      </c>
      <c r="C611" s="107">
        <v>88278</v>
      </c>
      <c r="D611" s="133" t="s">
        <v>311</v>
      </c>
      <c r="E611" s="134"/>
      <c r="F611" s="134"/>
      <c r="G611" s="134"/>
      <c r="H611" s="134"/>
      <c r="I611" s="134"/>
      <c r="J611" s="135"/>
      <c r="K611" s="120" t="s">
        <v>17</v>
      </c>
      <c r="L611" s="125">
        <f>L610</f>
        <v>120</v>
      </c>
      <c r="M611" s="61">
        <v>17.73</v>
      </c>
      <c r="N611" s="62">
        <f t="shared" si="22"/>
        <v>2127.6</v>
      </c>
    </row>
    <row r="612" spans="2:16" x14ac:dyDescent="0.25">
      <c r="B612" s="196"/>
      <c r="C612" s="197"/>
      <c r="D612" s="37" t="s">
        <v>34</v>
      </c>
      <c r="E612" s="38"/>
      <c r="F612" s="38"/>
      <c r="G612" s="38"/>
      <c r="H612" s="38"/>
      <c r="I612" s="38"/>
      <c r="J612" s="38"/>
      <c r="K612" s="73"/>
      <c r="L612" s="74"/>
      <c r="M612" s="198"/>
      <c r="N612" s="105">
        <f>SUM(N601:N611)</f>
        <v>12923.5</v>
      </c>
      <c r="P612" s="218">
        <f>15*8</f>
        <v>120</v>
      </c>
    </row>
    <row r="613" spans="2:16" x14ac:dyDescent="0.25">
      <c r="B613" s="25"/>
      <c r="C613" s="25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P613" s="218"/>
    </row>
    <row r="614" spans="2:16" x14ac:dyDescent="0.25">
      <c r="B614" s="83" t="s">
        <v>20</v>
      </c>
      <c r="C614" s="37" t="s">
        <v>3</v>
      </c>
      <c r="D614" s="38"/>
      <c r="E614" s="38"/>
      <c r="F614" s="38"/>
      <c r="G614" s="38"/>
      <c r="H614" s="38"/>
      <c r="I614" s="38"/>
      <c r="J614" s="38"/>
      <c r="K614" s="38"/>
      <c r="L614" s="38"/>
      <c r="M614" s="39"/>
      <c r="N614" s="146"/>
    </row>
    <row r="615" spans="2:16" x14ac:dyDescent="0.25">
      <c r="B615" s="40" t="e">
        <f>[1]ORÇ!#REF!</f>
        <v>#REF!</v>
      </c>
      <c r="C615" s="41"/>
      <c r="D615" s="42" t="s">
        <v>312</v>
      </c>
      <c r="E615" s="43"/>
      <c r="F615" s="43"/>
      <c r="G615" s="43"/>
      <c r="H615" s="43"/>
      <c r="I615" s="43"/>
      <c r="J615" s="43"/>
      <c r="K615" s="43"/>
      <c r="L615" s="44"/>
      <c r="M615" s="45" t="s">
        <v>5</v>
      </c>
      <c r="N615" s="199" t="s">
        <v>6</v>
      </c>
    </row>
    <row r="616" spans="2:16" x14ac:dyDescent="0.25">
      <c r="B616" s="47" t="s">
        <v>313</v>
      </c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9"/>
    </row>
    <row r="617" spans="2:16" x14ac:dyDescent="0.25">
      <c r="B617" s="84" t="s">
        <v>8</v>
      </c>
      <c r="C617" s="52" t="s">
        <v>9</v>
      </c>
      <c r="D617" s="50"/>
      <c r="E617" s="50"/>
      <c r="F617" s="50"/>
      <c r="G617" s="50" t="s">
        <v>10</v>
      </c>
      <c r="H617" s="50"/>
      <c r="I617" s="50"/>
      <c r="J617" s="26"/>
      <c r="K617" s="52" t="s">
        <v>11</v>
      </c>
      <c r="L617" s="52" t="s">
        <v>12</v>
      </c>
      <c r="M617" s="192" t="s">
        <v>13</v>
      </c>
      <c r="N617" s="45" t="s">
        <v>14</v>
      </c>
    </row>
    <row r="618" spans="2:16" x14ac:dyDescent="0.25">
      <c r="B618" s="85" t="s">
        <v>26</v>
      </c>
      <c r="C618" s="59">
        <v>39718</v>
      </c>
      <c r="D618" s="133" t="s">
        <v>314</v>
      </c>
      <c r="E618" s="134"/>
      <c r="F618" s="134"/>
      <c r="G618" s="134"/>
      <c r="H618" s="134"/>
      <c r="I618" s="134"/>
      <c r="J618" s="135"/>
      <c r="K618" s="120" t="s">
        <v>48</v>
      </c>
      <c r="L618" s="120">
        <v>1</v>
      </c>
      <c r="M618" s="61">
        <v>3.41</v>
      </c>
      <c r="N618" s="62">
        <f t="shared" ref="N618:N620" si="23">ROUND(L618*M618,2)</f>
        <v>3.41</v>
      </c>
    </row>
    <row r="619" spans="2:16" x14ac:dyDescent="0.25">
      <c r="B619" s="85" t="s">
        <v>15</v>
      </c>
      <c r="C619" s="59">
        <v>88264</v>
      </c>
      <c r="D619" s="133" t="s">
        <v>98</v>
      </c>
      <c r="E619" s="134"/>
      <c r="F619" s="134"/>
      <c r="G619" s="134"/>
      <c r="H619" s="134"/>
      <c r="I619" s="134"/>
      <c r="J619" s="135"/>
      <c r="K619" s="120" t="s">
        <v>17</v>
      </c>
      <c r="L619" s="120">
        <v>0.36449999999999999</v>
      </c>
      <c r="M619" s="61">
        <v>21.52</v>
      </c>
      <c r="N619" s="62">
        <f t="shared" si="23"/>
        <v>7.84</v>
      </c>
    </row>
    <row r="620" spans="2:16" x14ac:dyDescent="0.25">
      <c r="B620" s="106" t="s">
        <v>15</v>
      </c>
      <c r="C620" s="107">
        <v>88247</v>
      </c>
      <c r="D620" s="133" t="s">
        <v>97</v>
      </c>
      <c r="E620" s="134"/>
      <c r="F620" s="134"/>
      <c r="G620" s="134"/>
      <c r="H620" s="134"/>
      <c r="I620" s="134"/>
      <c r="J620" s="135"/>
      <c r="K620" s="128" t="s">
        <v>17</v>
      </c>
      <c r="L620" s="109">
        <v>0.15190000000000001</v>
      </c>
      <c r="M620" s="61">
        <v>17.75</v>
      </c>
      <c r="N620" s="62">
        <f t="shared" si="23"/>
        <v>2.7</v>
      </c>
    </row>
    <row r="621" spans="2:16" x14ac:dyDescent="0.25">
      <c r="B621" s="196"/>
      <c r="C621" s="197"/>
      <c r="D621" s="37" t="s">
        <v>34</v>
      </c>
      <c r="E621" s="38"/>
      <c r="F621" s="38"/>
      <c r="G621" s="38"/>
      <c r="H621" s="38"/>
      <c r="I621" s="38"/>
      <c r="J621" s="38"/>
      <c r="K621" s="73"/>
      <c r="L621" s="74"/>
      <c r="M621" s="198"/>
      <c r="N621" s="105">
        <f>SUM(N618:N620)</f>
        <v>13.95</v>
      </c>
    </row>
    <row r="622" spans="2:16" x14ac:dyDescent="0.25">
      <c r="B622" s="25"/>
      <c r="C622" s="25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</row>
    <row r="623" spans="2:16" x14ac:dyDescent="0.25">
      <c r="B623" s="83" t="s">
        <v>20</v>
      </c>
      <c r="C623" s="37" t="s">
        <v>3</v>
      </c>
      <c r="D623" s="38"/>
      <c r="E623" s="38"/>
      <c r="F623" s="38"/>
      <c r="G623" s="38"/>
      <c r="H623" s="38"/>
      <c r="I623" s="38"/>
      <c r="J623" s="38"/>
      <c r="K623" s="38"/>
      <c r="L623" s="38"/>
      <c r="M623" s="39"/>
      <c r="N623" s="146"/>
    </row>
    <row r="624" spans="2:16" x14ac:dyDescent="0.25">
      <c r="B624" s="40" t="str">
        <f>[1]ORÇ!B311</f>
        <v>COMPOSIÇÃO 61</v>
      </c>
      <c r="C624" s="41"/>
      <c r="D624" s="42" t="s">
        <v>315</v>
      </c>
      <c r="E624" s="43"/>
      <c r="F624" s="43"/>
      <c r="G624" s="43"/>
      <c r="H624" s="43"/>
      <c r="I624" s="43"/>
      <c r="J624" s="43"/>
      <c r="K624" s="43"/>
      <c r="L624" s="44"/>
      <c r="M624" s="45" t="s">
        <v>5</v>
      </c>
      <c r="N624" s="199" t="s">
        <v>22</v>
      </c>
    </row>
    <row r="625" spans="2:14" x14ac:dyDescent="0.25">
      <c r="B625" s="47" t="s">
        <v>316</v>
      </c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9"/>
    </row>
    <row r="626" spans="2:14" x14ac:dyDescent="0.25">
      <c r="B626" s="84" t="s">
        <v>8</v>
      </c>
      <c r="C626" s="52" t="s">
        <v>9</v>
      </c>
      <c r="D626" s="50"/>
      <c r="E626" s="50"/>
      <c r="F626" s="50"/>
      <c r="G626" s="50" t="s">
        <v>10</v>
      </c>
      <c r="H626" s="50"/>
      <c r="I626" s="50"/>
      <c r="J626" s="26"/>
      <c r="K626" s="52" t="s">
        <v>11</v>
      </c>
      <c r="L626" s="52" t="s">
        <v>12</v>
      </c>
      <c r="M626" s="192" t="s">
        <v>13</v>
      </c>
      <c r="N626" s="45" t="s">
        <v>14</v>
      </c>
    </row>
    <row r="627" spans="2:14" x14ac:dyDescent="0.25">
      <c r="B627" s="85" t="s">
        <v>26</v>
      </c>
      <c r="C627" s="59">
        <v>39715</v>
      </c>
      <c r="D627" s="133" t="s">
        <v>317</v>
      </c>
      <c r="E627" s="134"/>
      <c r="F627" s="134"/>
      <c r="G627" s="134"/>
      <c r="H627" s="134"/>
      <c r="I627" s="134"/>
      <c r="J627" s="135"/>
      <c r="K627" s="120" t="s">
        <v>22</v>
      </c>
      <c r="L627" s="120">
        <v>1</v>
      </c>
      <c r="M627" s="61">
        <v>2.64</v>
      </c>
      <c r="N627" s="62">
        <f t="shared" ref="N627:N629" si="24">ROUND(L627*M627,2)</f>
        <v>2.64</v>
      </c>
    </row>
    <row r="628" spans="2:14" x14ac:dyDescent="0.25">
      <c r="B628" s="85" t="s">
        <v>15</v>
      </c>
      <c r="C628" s="59">
        <v>88264</v>
      </c>
      <c r="D628" s="133" t="s">
        <v>98</v>
      </c>
      <c r="E628" s="134"/>
      <c r="F628" s="134"/>
      <c r="G628" s="134"/>
      <c r="H628" s="134"/>
      <c r="I628" s="134"/>
      <c r="J628" s="135"/>
      <c r="K628" s="120" t="s">
        <v>250</v>
      </c>
      <c r="L628" s="120">
        <v>0.36449999999999999</v>
      </c>
      <c r="M628" s="61">
        <v>21.52</v>
      </c>
      <c r="N628" s="62">
        <f t="shared" si="24"/>
        <v>7.84</v>
      </c>
    </row>
    <row r="629" spans="2:14" x14ac:dyDescent="0.25">
      <c r="B629" s="106" t="s">
        <v>15</v>
      </c>
      <c r="C629" s="107">
        <v>88247</v>
      </c>
      <c r="D629" s="133" t="s">
        <v>97</v>
      </c>
      <c r="E629" s="134"/>
      <c r="F629" s="134"/>
      <c r="G629" s="134"/>
      <c r="H629" s="134"/>
      <c r="I629" s="134"/>
      <c r="J629" s="135"/>
      <c r="K629" s="128" t="s">
        <v>250</v>
      </c>
      <c r="L629" s="109">
        <v>0.15190000000000001</v>
      </c>
      <c r="M629" s="61">
        <v>17.75</v>
      </c>
      <c r="N629" s="62">
        <f t="shared" si="24"/>
        <v>2.7</v>
      </c>
    </row>
    <row r="630" spans="2:14" x14ac:dyDescent="0.25">
      <c r="B630" s="196"/>
      <c r="C630" s="197"/>
      <c r="D630" s="37" t="s">
        <v>34</v>
      </c>
      <c r="E630" s="38"/>
      <c r="F630" s="38"/>
      <c r="G630" s="38"/>
      <c r="H630" s="38"/>
      <c r="I630" s="38"/>
      <c r="J630" s="38"/>
      <c r="K630" s="73"/>
      <c r="L630" s="74"/>
      <c r="M630" s="198"/>
      <c r="N630" s="105">
        <f>SUM(N627:N629)</f>
        <v>13.18</v>
      </c>
    </row>
    <row r="631" spans="2:14" x14ac:dyDescent="0.25">
      <c r="B631" s="25"/>
      <c r="C631" s="25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</row>
    <row r="632" spans="2:14" x14ac:dyDescent="0.25">
      <c r="B632" s="83" t="s">
        <v>20</v>
      </c>
      <c r="C632" s="37" t="s">
        <v>3</v>
      </c>
      <c r="D632" s="38"/>
      <c r="E632" s="38"/>
      <c r="F632" s="38"/>
      <c r="G632" s="38"/>
      <c r="H632" s="38"/>
      <c r="I632" s="38"/>
      <c r="J632" s="38"/>
      <c r="K632" s="38"/>
      <c r="L632" s="38"/>
      <c r="M632" s="39"/>
      <c r="N632" s="146"/>
    </row>
    <row r="633" spans="2:14" x14ac:dyDescent="0.25">
      <c r="B633" s="40" t="str">
        <f>[1]ORÇ!B312</f>
        <v>COMPOSIÇÃO 62</v>
      </c>
      <c r="C633" s="41"/>
      <c r="D633" s="42" t="s">
        <v>318</v>
      </c>
      <c r="E633" s="43"/>
      <c r="F633" s="43"/>
      <c r="G633" s="43"/>
      <c r="H633" s="43"/>
      <c r="I633" s="43"/>
      <c r="J633" s="43"/>
      <c r="K633" s="43"/>
      <c r="L633" s="44"/>
      <c r="M633" s="45" t="s">
        <v>5</v>
      </c>
      <c r="N633" s="199" t="s">
        <v>22</v>
      </c>
    </row>
    <row r="634" spans="2:14" x14ac:dyDescent="0.25">
      <c r="B634" s="47" t="s">
        <v>319</v>
      </c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9"/>
    </row>
    <row r="635" spans="2:14" x14ac:dyDescent="0.25">
      <c r="B635" s="84" t="s">
        <v>8</v>
      </c>
      <c r="C635" s="52" t="s">
        <v>9</v>
      </c>
      <c r="D635" s="50"/>
      <c r="E635" s="50"/>
      <c r="F635" s="50"/>
      <c r="G635" s="50" t="s">
        <v>10</v>
      </c>
      <c r="H635" s="50"/>
      <c r="I635" s="50"/>
      <c r="J635" s="26"/>
      <c r="K635" s="52" t="s">
        <v>11</v>
      </c>
      <c r="L635" s="52" t="s">
        <v>12</v>
      </c>
      <c r="M635" s="192" t="s">
        <v>13</v>
      </c>
      <c r="N635" s="45" t="s">
        <v>14</v>
      </c>
    </row>
    <row r="636" spans="2:14" x14ac:dyDescent="0.25">
      <c r="B636" s="85" t="s">
        <v>26</v>
      </c>
      <c r="C636" s="59">
        <v>39711</v>
      </c>
      <c r="D636" s="133" t="s">
        <v>320</v>
      </c>
      <c r="E636" s="134"/>
      <c r="F636" s="134"/>
      <c r="G636" s="134"/>
      <c r="H636" s="134"/>
      <c r="I636" s="134"/>
      <c r="J636" s="135"/>
      <c r="K636" s="120" t="s">
        <v>48</v>
      </c>
      <c r="L636" s="120">
        <v>1</v>
      </c>
      <c r="M636" s="61">
        <v>5.85</v>
      </c>
      <c r="N636" s="62">
        <f t="shared" ref="N636:N638" si="25">ROUND(L636*M636,2)</f>
        <v>5.85</v>
      </c>
    </row>
    <row r="637" spans="2:14" x14ac:dyDescent="0.25">
      <c r="B637" s="85" t="s">
        <v>15</v>
      </c>
      <c r="C637" s="59">
        <v>88264</v>
      </c>
      <c r="D637" s="133" t="s">
        <v>98</v>
      </c>
      <c r="E637" s="134"/>
      <c r="F637" s="134"/>
      <c r="G637" s="134"/>
      <c r="H637" s="134"/>
      <c r="I637" s="134"/>
      <c r="J637" s="135"/>
      <c r="K637" s="120" t="s">
        <v>17</v>
      </c>
      <c r="L637" s="120">
        <v>0.36449999999999999</v>
      </c>
      <c r="M637" s="61">
        <v>21.52</v>
      </c>
      <c r="N637" s="62">
        <f t="shared" si="25"/>
        <v>7.84</v>
      </c>
    </row>
    <row r="638" spans="2:14" x14ac:dyDescent="0.25">
      <c r="B638" s="106" t="s">
        <v>15</v>
      </c>
      <c r="C638" s="107">
        <v>88247</v>
      </c>
      <c r="D638" s="133" t="s">
        <v>97</v>
      </c>
      <c r="E638" s="134"/>
      <c r="F638" s="134"/>
      <c r="G638" s="134"/>
      <c r="H638" s="134"/>
      <c r="I638" s="134"/>
      <c r="J638" s="135"/>
      <c r="K638" s="128" t="s">
        <v>17</v>
      </c>
      <c r="L638" s="109">
        <v>0.15190000000000001</v>
      </c>
      <c r="M638" s="61">
        <v>17.75</v>
      </c>
      <c r="N638" s="62">
        <f t="shared" si="25"/>
        <v>2.7</v>
      </c>
    </row>
    <row r="639" spans="2:14" x14ac:dyDescent="0.25">
      <c r="B639" s="196"/>
      <c r="C639" s="197"/>
      <c r="D639" s="37" t="s">
        <v>34</v>
      </c>
      <c r="E639" s="38"/>
      <c r="F639" s="38"/>
      <c r="G639" s="38"/>
      <c r="H639" s="38"/>
      <c r="I639" s="38"/>
      <c r="J639" s="38"/>
      <c r="K639" s="73"/>
      <c r="L639" s="74"/>
      <c r="M639" s="198"/>
      <c r="N639" s="105">
        <f>SUM(N636:N638)</f>
        <v>16.39</v>
      </c>
    </row>
    <row r="640" spans="2:14" x14ac:dyDescent="0.25">
      <c r="B640" s="25"/>
      <c r="C640" s="25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</row>
    <row r="641" spans="2:14" x14ac:dyDescent="0.25">
      <c r="B641" s="83" t="s">
        <v>20</v>
      </c>
      <c r="C641" s="37" t="s">
        <v>3</v>
      </c>
      <c r="D641" s="38"/>
      <c r="E641" s="38"/>
      <c r="F641" s="38"/>
      <c r="G641" s="38"/>
      <c r="H641" s="38"/>
      <c r="I641" s="38"/>
      <c r="J641" s="38"/>
      <c r="K641" s="38"/>
      <c r="L641" s="38"/>
      <c r="M641" s="39"/>
      <c r="N641" s="146"/>
    </row>
    <row r="642" spans="2:14" x14ac:dyDescent="0.25">
      <c r="B642" s="40" t="str">
        <f>[1]ORÇ!B313</f>
        <v>SEDOP</v>
      </c>
      <c r="C642" s="41"/>
      <c r="D642" s="42" t="s">
        <v>321</v>
      </c>
      <c r="E642" s="43"/>
      <c r="F642" s="43"/>
      <c r="G642" s="43"/>
      <c r="H642" s="43"/>
      <c r="I642" s="43"/>
      <c r="J642" s="43"/>
      <c r="K642" s="43"/>
      <c r="L642" s="43"/>
      <c r="M642" s="45" t="s">
        <v>5</v>
      </c>
      <c r="N642" s="199" t="s">
        <v>22</v>
      </c>
    </row>
    <row r="643" spans="2:14" x14ac:dyDescent="0.25">
      <c r="B643" s="47" t="s">
        <v>322</v>
      </c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9"/>
    </row>
    <row r="644" spans="2:14" x14ac:dyDescent="0.25">
      <c r="B644" s="84" t="s">
        <v>8</v>
      </c>
      <c r="C644" s="52" t="s">
        <v>9</v>
      </c>
      <c r="D644" s="50"/>
      <c r="E644" s="50"/>
      <c r="F644" s="50"/>
      <c r="G644" s="50" t="s">
        <v>10</v>
      </c>
      <c r="H644" s="50"/>
      <c r="I644" s="50"/>
      <c r="J644" s="26"/>
      <c r="K644" s="52" t="s">
        <v>11</v>
      </c>
      <c r="L644" s="52" t="s">
        <v>12</v>
      </c>
      <c r="M644" s="192" t="s">
        <v>13</v>
      </c>
      <c r="N644" s="45" t="s">
        <v>14</v>
      </c>
    </row>
    <row r="645" spans="2:14" x14ac:dyDescent="0.25">
      <c r="B645" s="85" t="s">
        <v>26</v>
      </c>
      <c r="C645" s="59">
        <v>39712</v>
      </c>
      <c r="D645" s="133" t="s">
        <v>323</v>
      </c>
      <c r="E645" s="134"/>
      <c r="F645" s="134"/>
      <c r="G645" s="134"/>
      <c r="H645" s="134"/>
      <c r="I645" s="134"/>
      <c r="J645" s="135"/>
      <c r="K645" s="120" t="s">
        <v>48</v>
      </c>
      <c r="L645" s="120">
        <v>1</v>
      </c>
      <c r="M645" s="61">
        <v>2.0499999999999998</v>
      </c>
      <c r="N645" s="62">
        <f t="shared" ref="N645:N647" si="26">ROUND(L645*M645,2)</f>
        <v>2.0499999999999998</v>
      </c>
    </row>
    <row r="646" spans="2:14" x14ac:dyDescent="0.25">
      <c r="B646" s="85" t="s">
        <v>15</v>
      </c>
      <c r="C646" s="59">
        <v>88264</v>
      </c>
      <c r="D646" s="133" t="s">
        <v>98</v>
      </c>
      <c r="E646" s="134"/>
      <c r="F646" s="134"/>
      <c r="G646" s="134"/>
      <c r="H646" s="134"/>
      <c r="I646" s="134"/>
      <c r="J646" s="135"/>
      <c r="K646" s="120" t="s">
        <v>17</v>
      </c>
      <c r="L646" s="120">
        <v>0.36449999999999999</v>
      </c>
      <c r="M646" s="61">
        <v>21.52</v>
      </c>
      <c r="N646" s="62">
        <f t="shared" si="26"/>
        <v>7.84</v>
      </c>
    </row>
    <row r="647" spans="2:14" x14ac:dyDescent="0.25">
      <c r="B647" s="106" t="s">
        <v>15</v>
      </c>
      <c r="C647" s="107">
        <v>88247</v>
      </c>
      <c r="D647" s="133" t="s">
        <v>97</v>
      </c>
      <c r="E647" s="134"/>
      <c r="F647" s="134"/>
      <c r="G647" s="134"/>
      <c r="H647" s="134"/>
      <c r="I647" s="134"/>
      <c r="J647" s="135"/>
      <c r="K647" s="128" t="s">
        <v>17</v>
      </c>
      <c r="L647" s="109">
        <v>0.15190000000000001</v>
      </c>
      <c r="M647" s="61">
        <v>17.75</v>
      </c>
      <c r="N647" s="62">
        <f t="shared" si="26"/>
        <v>2.7</v>
      </c>
    </row>
    <row r="648" spans="2:14" x14ac:dyDescent="0.25">
      <c r="B648" s="196"/>
      <c r="C648" s="197"/>
      <c r="D648" s="37" t="s">
        <v>34</v>
      </c>
      <c r="E648" s="38"/>
      <c r="F648" s="38"/>
      <c r="G648" s="38"/>
      <c r="H648" s="38"/>
      <c r="I648" s="38"/>
      <c r="J648" s="38"/>
      <c r="K648" s="73"/>
      <c r="L648" s="74"/>
      <c r="M648" s="198"/>
      <c r="N648" s="105">
        <f>SUM(N645:N647)</f>
        <v>12.59</v>
      </c>
    </row>
    <row r="649" spans="2:14" x14ac:dyDescent="0.25">
      <c r="B649" s="25"/>
      <c r="C649" s="25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</row>
    <row r="650" spans="2:14" x14ac:dyDescent="0.25">
      <c r="B650" s="83" t="s">
        <v>20</v>
      </c>
      <c r="C650" s="37" t="s">
        <v>3</v>
      </c>
      <c r="D650" s="38"/>
      <c r="E650" s="38"/>
      <c r="F650" s="38"/>
      <c r="G650" s="38"/>
      <c r="H650" s="38"/>
      <c r="I650" s="38"/>
      <c r="J650" s="38"/>
      <c r="K650" s="38"/>
      <c r="L650" s="38"/>
      <c r="M650" s="39"/>
      <c r="N650" s="146"/>
    </row>
    <row r="651" spans="2:14" x14ac:dyDescent="0.25">
      <c r="B651" s="40">
        <f>[1]ORÇ!B314</f>
        <v>0</v>
      </c>
      <c r="C651" s="41"/>
      <c r="D651" s="42" t="s">
        <v>324</v>
      </c>
      <c r="E651" s="43"/>
      <c r="F651" s="43"/>
      <c r="G651" s="43"/>
      <c r="H651" s="43"/>
      <c r="I651" s="43"/>
      <c r="J651" s="43"/>
      <c r="K651" s="43"/>
      <c r="L651" s="43"/>
      <c r="M651" s="219" t="s">
        <v>5</v>
      </c>
      <c r="N651" s="199" t="s">
        <v>22</v>
      </c>
    </row>
    <row r="652" spans="2:14" x14ac:dyDescent="0.25">
      <c r="B652" s="47" t="s">
        <v>325</v>
      </c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9"/>
    </row>
    <row r="653" spans="2:14" x14ac:dyDescent="0.25">
      <c r="B653" s="84" t="s">
        <v>8</v>
      </c>
      <c r="C653" s="52" t="s">
        <v>9</v>
      </c>
      <c r="D653" s="50"/>
      <c r="E653" s="50"/>
      <c r="F653" s="50"/>
      <c r="G653" s="50" t="s">
        <v>10</v>
      </c>
      <c r="H653" s="50"/>
      <c r="I653" s="50"/>
      <c r="J653" s="26"/>
      <c r="K653" s="52" t="s">
        <v>11</v>
      </c>
      <c r="L653" s="52" t="s">
        <v>12</v>
      </c>
      <c r="M653" s="192" t="s">
        <v>13</v>
      </c>
      <c r="N653" s="45" t="s">
        <v>14</v>
      </c>
    </row>
    <row r="654" spans="2:14" x14ac:dyDescent="0.25">
      <c r="B654" s="85" t="s">
        <v>26</v>
      </c>
      <c r="C654" s="59">
        <v>39716</v>
      </c>
      <c r="D654" s="133" t="s">
        <v>326</v>
      </c>
      <c r="E654" s="134"/>
      <c r="F654" s="134"/>
      <c r="G654" s="134"/>
      <c r="H654" s="134"/>
      <c r="I654" s="134"/>
      <c r="J654" s="135"/>
      <c r="K654" s="120" t="s">
        <v>48</v>
      </c>
      <c r="L654" s="120">
        <v>1</v>
      </c>
      <c r="M654" s="61">
        <v>2</v>
      </c>
      <c r="N654" s="62">
        <f t="shared" ref="N654:N656" si="27">ROUND(L654*M654,2)</f>
        <v>2</v>
      </c>
    </row>
    <row r="655" spans="2:14" x14ac:dyDescent="0.25">
      <c r="B655" s="85" t="s">
        <v>15</v>
      </c>
      <c r="C655" s="59">
        <v>88264</v>
      </c>
      <c r="D655" s="133" t="s">
        <v>98</v>
      </c>
      <c r="E655" s="134"/>
      <c r="F655" s="134"/>
      <c r="G655" s="134"/>
      <c r="H655" s="134"/>
      <c r="I655" s="134"/>
      <c r="J655" s="135"/>
      <c r="K655" s="120" t="s">
        <v>17</v>
      </c>
      <c r="L655" s="120">
        <v>0.36449999999999999</v>
      </c>
      <c r="M655" s="61">
        <v>21.52</v>
      </c>
      <c r="N655" s="62">
        <f t="shared" si="27"/>
        <v>7.84</v>
      </c>
    </row>
    <row r="656" spans="2:14" x14ac:dyDescent="0.25">
      <c r="B656" s="106" t="s">
        <v>15</v>
      </c>
      <c r="C656" s="107">
        <v>88247</v>
      </c>
      <c r="D656" s="133" t="s">
        <v>97</v>
      </c>
      <c r="E656" s="134"/>
      <c r="F656" s="134"/>
      <c r="G656" s="134"/>
      <c r="H656" s="134"/>
      <c r="I656" s="134"/>
      <c r="J656" s="135"/>
      <c r="K656" s="128" t="s">
        <v>17</v>
      </c>
      <c r="L656" s="109">
        <v>0.15190000000000001</v>
      </c>
      <c r="M656" s="61">
        <v>17.75</v>
      </c>
      <c r="N656" s="62">
        <f t="shared" si="27"/>
        <v>2.7</v>
      </c>
    </row>
    <row r="657" spans="2:14" x14ac:dyDescent="0.25">
      <c r="B657" s="196"/>
      <c r="C657" s="197"/>
      <c r="D657" s="37" t="s">
        <v>34</v>
      </c>
      <c r="E657" s="38"/>
      <c r="F657" s="38"/>
      <c r="G657" s="38"/>
      <c r="H657" s="38"/>
      <c r="I657" s="38"/>
      <c r="J657" s="38"/>
      <c r="K657" s="73"/>
      <c r="L657" s="74"/>
      <c r="M657" s="198"/>
      <c r="N657" s="105">
        <f>SUM(N654:N656)</f>
        <v>12.54</v>
      </c>
    </row>
    <row r="658" spans="2:14" x14ac:dyDescent="0.25">
      <c r="B658" s="25"/>
      <c r="C658" s="25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</row>
    <row r="659" spans="2:14" x14ac:dyDescent="0.25">
      <c r="B659" s="83" t="s">
        <v>20</v>
      </c>
      <c r="C659" s="37" t="s">
        <v>3</v>
      </c>
      <c r="D659" s="38"/>
      <c r="E659" s="38"/>
      <c r="F659" s="38"/>
      <c r="G659" s="38"/>
      <c r="H659" s="38"/>
      <c r="I659" s="38"/>
      <c r="J659" s="38"/>
      <c r="K659" s="38"/>
      <c r="L659" s="38"/>
      <c r="M659" s="39"/>
      <c r="N659" s="146"/>
    </row>
    <row r="660" spans="2:14" x14ac:dyDescent="0.25">
      <c r="B660" s="40">
        <f>[1]ORÇ!B315</f>
        <v>0</v>
      </c>
      <c r="C660" s="41"/>
      <c r="D660" s="42" t="s">
        <v>327</v>
      </c>
      <c r="E660" s="43"/>
      <c r="F660" s="43"/>
      <c r="G660" s="43"/>
      <c r="H660" s="43"/>
      <c r="I660" s="43"/>
      <c r="J660" s="43"/>
      <c r="K660" s="43"/>
      <c r="L660" s="43"/>
      <c r="M660" s="219" t="s">
        <v>5</v>
      </c>
      <c r="N660" s="199" t="s">
        <v>22</v>
      </c>
    </row>
    <row r="661" spans="2:14" x14ac:dyDescent="0.25">
      <c r="B661" s="47" t="s">
        <v>328</v>
      </c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9"/>
    </row>
    <row r="662" spans="2:14" x14ac:dyDescent="0.25">
      <c r="B662" s="84" t="s">
        <v>8</v>
      </c>
      <c r="C662" s="52" t="s">
        <v>9</v>
      </c>
      <c r="D662" s="50"/>
      <c r="E662" s="50"/>
      <c r="F662" s="50"/>
      <c r="G662" s="50" t="s">
        <v>10</v>
      </c>
      <c r="H662" s="50"/>
      <c r="I662" s="50"/>
      <c r="J662" s="26"/>
      <c r="K662" s="52" t="s">
        <v>11</v>
      </c>
      <c r="L662" s="52" t="s">
        <v>12</v>
      </c>
      <c r="M662" s="192" t="s">
        <v>13</v>
      </c>
      <c r="N662" s="220"/>
    </row>
    <row r="663" spans="2:14" x14ac:dyDescent="0.25">
      <c r="B663" s="85" t="s">
        <v>26</v>
      </c>
      <c r="C663" s="59">
        <v>39713</v>
      </c>
      <c r="D663" s="133" t="s">
        <v>329</v>
      </c>
      <c r="E663" s="134"/>
      <c r="F663" s="134"/>
      <c r="G663" s="134"/>
      <c r="H663" s="134"/>
      <c r="I663" s="134"/>
      <c r="J663" s="135"/>
      <c r="K663" s="120" t="s">
        <v>48</v>
      </c>
      <c r="L663" s="120">
        <v>1</v>
      </c>
      <c r="M663" s="61">
        <v>1.62</v>
      </c>
      <c r="N663" s="62">
        <f t="shared" ref="N663:N665" si="28">ROUND(L663*M663,2)</f>
        <v>1.62</v>
      </c>
    </row>
    <row r="664" spans="2:14" x14ac:dyDescent="0.25">
      <c r="B664" s="85" t="s">
        <v>15</v>
      </c>
      <c r="C664" s="59">
        <v>88264</v>
      </c>
      <c r="D664" s="133" t="s">
        <v>98</v>
      </c>
      <c r="E664" s="134"/>
      <c r="F664" s="134"/>
      <c r="G664" s="134"/>
      <c r="H664" s="134"/>
      <c r="I664" s="134"/>
      <c r="J664" s="135"/>
      <c r="K664" s="120" t="s">
        <v>17</v>
      </c>
      <c r="L664" s="120">
        <v>0.36449999999999999</v>
      </c>
      <c r="M664" s="61">
        <v>21.52</v>
      </c>
      <c r="N664" s="62">
        <f t="shared" si="28"/>
        <v>7.84</v>
      </c>
    </row>
    <row r="665" spans="2:14" x14ac:dyDescent="0.25">
      <c r="B665" s="106" t="s">
        <v>15</v>
      </c>
      <c r="C665" s="107">
        <v>88247</v>
      </c>
      <c r="D665" s="133" t="s">
        <v>97</v>
      </c>
      <c r="E665" s="134"/>
      <c r="F665" s="134"/>
      <c r="G665" s="134"/>
      <c r="H665" s="134"/>
      <c r="I665" s="134"/>
      <c r="J665" s="135"/>
      <c r="K665" s="128" t="s">
        <v>17</v>
      </c>
      <c r="L665" s="109">
        <v>0.15190000000000001</v>
      </c>
      <c r="M665" s="61">
        <v>17.75</v>
      </c>
      <c r="N665" s="62">
        <f t="shared" si="28"/>
        <v>2.7</v>
      </c>
    </row>
    <row r="666" spans="2:14" x14ac:dyDescent="0.25">
      <c r="B666" s="196"/>
      <c r="C666" s="197"/>
      <c r="D666" s="37" t="s">
        <v>34</v>
      </c>
      <c r="E666" s="38"/>
      <c r="F666" s="38"/>
      <c r="G666" s="38"/>
      <c r="H666" s="38"/>
      <c r="I666" s="38"/>
      <c r="J666" s="38"/>
      <c r="K666" s="73"/>
      <c r="L666" s="74"/>
      <c r="M666" s="198"/>
      <c r="N666" s="105">
        <f>SUM(N663:N665)</f>
        <v>12.16</v>
      </c>
    </row>
    <row r="667" spans="2:14" x14ac:dyDescent="0.25">
      <c r="B667" s="25"/>
      <c r="C667" s="25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</row>
    <row r="668" spans="2:14" x14ac:dyDescent="0.25">
      <c r="B668" s="74" t="s">
        <v>20</v>
      </c>
      <c r="C668" s="37" t="s">
        <v>3</v>
      </c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73"/>
    </row>
    <row r="669" spans="2:14" x14ac:dyDescent="0.25">
      <c r="B669" s="40" t="str">
        <f>[1]ORÇ!B449</f>
        <v>SINAPI</v>
      </c>
      <c r="C669" s="41"/>
      <c r="D669" s="221" t="s">
        <v>330</v>
      </c>
      <c r="E669" s="222"/>
      <c r="F669" s="222"/>
      <c r="G669" s="222"/>
      <c r="H669" s="222"/>
      <c r="I669" s="222"/>
      <c r="J669" s="222"/>
      <c r="K669" s="222"/>
      <c r="L669" s="223"/>
      <c r="M669" s="45" t="s">
        <v>5</v>
      </c>
      <c r="N669" s="199" t="s">
        <v>22</v>
      </c>
    </row>
    <row r="670" spans="2:14" x14ac:dyDescent="0.25">
      <c r="B670" s="47" t="s">
        <v>331</v>
      </c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9"/>
    </row>
    <row r="671" spans="2:14" x14ac:dyDescent="0.25">
      <c r="B671" s="84" t="s">
        <v>8</v>
      </c>
      <c r="C671" s="52" t="s">
        <v>9</v>
      </c>
      <c r="D671" s="50"/>
      <c r="E671" s="50"/>
      <c r="F671" s="50"/>
      <c r="G671" s="50" t="s">
        <v>10</v>
      </c>
      <c r="H671" s="50"/>
      <c r="I671" s="50"/>
      <c r="J671" s="51"/>
      <c r="K671" s="52" t="s">
        <v>11</v>
      </c>
      <c r="L671" s="52" t="s">
        <v>12</v>
      </c>
      <c r="M671" s="192" t="s">
        <v>13</v>
      </c>
      <c r="N671" s="45" t="s">
        <v>14</v>
      </c>
    </row>
    <row r="672" spans="2:14" x14ac:dyDescent="0.25">
      <c r="B672" s="224" t="s">
        <v>26</v>
      </c>
      <c r="C672" s="225">
        <v>7568</v>
      </c>
      <c r="D672" s="133" t="s">
        <v>214</v>
      </c>
      <c r="E672" s="134"/>
      <c r="F672" s="134"/>
      <c r="G672" s="134"/>
      <c r="H672" s="134"/>
      <c r="I672" s="134"/>
      <c r="J672" s="135"/>
      <c r="K672" s="89" t="s">
        <v>245</v>
      </c>
      <c r="L672" s="93">
        <v>3.2730000000000001</v>
      </c>
      <c r="M672" s="168">
        <v>0.92</v>
      </c>
      <c r="N672" s="62">
        <f t="shared" ref="N672:N677" si="29">ROUND(L672*M672,2)</f>
        <v>3.01</v>
      </c>
    </row>
    <row r="673" spans="2:14" x14ac:dyDescent="0.25">
      <c r="B673" s="224" t="s">
        <v>26</v>
      </c>
      <c r="C673" s="225">
        <v>11002</v>
      </c>
      <c r="D673" s="133" t="s">
        <v>332</v>
      </c>
      <c r="E673" s="134"/>
      <c r="F673" s="134"/>
      <c r="G673" s="134"/>
      <c r="H673" s="134"/>
      <c r="I673" s="134"/>
      <c r="J673" s="135"/>
      <c r="K673" s="89" t="s">
        <v>31</v>
      </c>
      <c r="L673" s="90">
        <v>4.0000000000000001E-3</v>
      </c>
      <c r="M673" s="168">
        <v>31.69</v>
      </c>
      <c r="N673" s="62">
        <f t="shared" si="29"/>
        <v>0.13</v>
      </c>
    </row>
    <row r="674" spans="2:14" x14ac:dyDescent="0.25">
      <c r="B674" s="224" t="s">
        <v>26</v>
      </c>
      <c r="C674" s="225">
        <v>11033</v>
      </c>
      <c r="D674" s="133" t="s">
        <v>333</v>
      </c>
      <c r="E674" s="134"/>
      <c r="F674" s="134"/>
      <c r="G674" s="134"/>
      <c r="H674" s="134"/>
      <c r="I674" s="134"/>
      <c r="J674" s="135"/>
      <c r="K674" s="89" t="s">
        <v>245</v>
      </c>
      <c r="L674" s="90">
        <v>1.091</v>
      </c>
      <c r="M674" s="168">
        <v>8.11</v>
      </c>
      <c r="N674" s="62">
        <f t="shared" si="29"/>
        <v>8.85</v>
      </c>
    </row>
    <row r="675" spans="2:14" x14ac:dyDescent="0.25">
      <c r="B675" s="224" t="s">
        <v>26</v>
      </c>
      <c r="C675" s="225">
        <v>21013</v>
      </c>
      <c r="D675" s="133" t="s">
        <v>334</v>
      </c>
      <c r="E675" s="134"/>
      <c r="F675" s="134"/>
      <c r="G675" s="134"/>
      <c r="H675" s="134"/>
      <c r="I675" s="134"/>
      <c r="J675" s="135"/>
      <c r="K675" s="89" t="s">
        <v>48</v>
      </c>
      <c r="L675" s="90">
        <v>1.0289999999999999</v>
      </c>
      <c r="M675" s="168">
        <v>90.23</v>
      </c>
      <c r="N675" s="62">
        <f t="shared" si="29"/>
        <v>92.85</v>
      </c>
    </row>
    <row r="676" spans="2:14" x14ac:dyDescent="0.25">
      <c r="B676" s="224" t="s">
        <v>15</v>
      </c>
      <c r="C676" s="225">
        <v>88251</v>
      </c>
      <c r="D676" s="133" t="s">
        <v>310</v>
      </c>
      <c r="E676" s="134"/>
      <c r="F676" s="134"/>
      <c r="G676" s="134"/>
      <c r="H676" s="134"/>
      <c r="I676" s="134"/>
      <c r="J676" s="135"/>
      <c r="K676" s="89" t="s">
        <v>17</v>
      </c>
      <c r="L676" s="90">
        <v>0.77800000000000002</v>
      </c>
      <c r="M676" s="168">
        <v>17.5</v>
      </c>
      <c r="N676" s="62">
        <f t="shared" si="29"/>
        <v>13.62</v>
      </c>
    </row>
    <row r="677" spans="2:14" x14ac:dyDescent="0.25">
      <c r="B677" s="224" t="s">
        <v>15</v>
      </c>
      <c r="C677" s="225">
        <v>88315</v>
      </c>
      <c r="D677" s="133" t="s">
        <v>290</v>
      </c>
      <c r="E677" s="134"/>
      <c r="F677" s="134"/>
      <c r="G677" s="134"/>
      <c r="H677" s="134"/>
      <c r="I677" s="134"/>
      <c r="J677" s="135"/>
      <c r="K677" s="89" t="s">
        <v>17</v>
      </c>
      <c r="L677" s="90">
        <v>0.94799999999999995</v>
      </c>
      <c r="M677" s="168">
        <v>21.19</v>
      </c>
      <c r="N677" s="62">
        <f t="shared" si="29"/>
        <v>20.09</v>
      </c>
    </row>
    <row r="678" spans="2:14" x14ac:dyDescent="0.25">
      <c r="B678" s="96"/>
      <c r="C678" s="97"/>
      <c r="D678" s="37" t="s">
        <v>34</v>
      </c>
      <c r="E678" s="38"/>
      <c r="F678" s="38"/>
      <c r="G678" s="38"/>
      <c r="H678" s="38"/>
      <c r="I678" s="38"/>
      <c r="J678" s="38"/>
      <c r="K678" s="73"/>
      <c r="L678" s="74"/>
      <c r="M678" s="226"/>
      <c r="N678" s="105">
        <f>SUM(N672:N677)</f>
        <v>138.54999999999998</v>
      </c>
    </row>
    <row r="679" spans="2:14" x14ac:dyDescent="0.25">
      <c r="B679" s="25"/>
      <c r="C679" s="25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</row>
    <row r="680" spans="2:14" x14ac:dyDescent="0.25">
      <c r="B680" s="74" t="s">
        <v>20</v>
      </c>
      <c r="C680" s="37" t="s">
        <v>3</v>
      </c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73"/>
    </row>
    <row r="681" spans="2:14" x14ac:dyDescent="0.25">
      <c r="B681" s="40" t="str">
        <f>[1]ORÇ!B266</f>
        <v>SINAPI</v>
      </c>
      <c r="C681" s="41"/>
      <c r="D681" s="42" t="s">
        <v>335</v>
      </c>
      <c r="E681" s="43"/>
      <c r="F681" s="43"/>
      <c r="G681" s="43"/>
      <c r="H681" s="43"/>
      <c r="I681" s="43"/>
      <c r="J681" s="43"/>
      <c r="K681" s="43"/>
      <c r="L681" s="44"/>
      <c r="M681" s="45" t="s">
        <v>5</v>
      </c>
      <c r="N681" s="199" t="s">
        <v>6</v>
      </c>
    </row>
    <row r="682" spans="2:14" x14ac:dyDescent="0.25">
      <c r="B682" s="47" t="s">
        <v>336</v>
      </c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9"/>
    </row>
    <row r="683" spans="2:14" x14ac:dyDescent="0.25">
      <c r="B683" s="84" t="s">
        <v>8</v>
      </c>
      <c r="C683" s="52" t="s">
        <v>9</v>
      </c>
      <c r="D683" s="50"/>
      <c r="E683" s="50"/>
      <c r="F683" s="50"/>
      <c r="G683" s="50" t="s">
        <v>10</v>
      </c>
      <c r="H683" s="50"/>
      <c r="I683" s="50"/>
      <c r="J683" s="51"/>
      <c r="K683" s="52" t="s">
        <v>11</v>
      </c>
      <c r="L683" s="52" t="s">
        <v>12</v>
      </c>
      <c r="M683" s="192" t="s">
        <v>13</v>
      </c>
      <c r="N683" s="45" t="s">
        <v>14</v>
      </c>
    </row>
    <row r="684" spans="2:14" x14ac:dyDescent="0.25">
      <c r="B684" s="224" t="s">
        <v>26</v>
      </c>
      <c r="C684" s="225">
        <v>39603</v>
      </c>
      <c r="D684" s="133" t="s">
        <v>337</v>
      </c>
      <c r="E684" s="134"/>
      <c r="F684" s="134"/>
      <c r="G684" s="134"/>
      <c r="H684" s="134"/>
      <c r="I684" s="134"/>
      <c r="J684" s="135"/>
      <c r="K684" s="89" t="s">
        <v>75</v>
      </c>
      <c r="L684" s="93">
        <v>1</v>
      </c>
      <c r="M684" s="168">
        <v>3.84</v>
      </c>
      <c r="N684" s="227">
        <f t="shared" ref="N684:N686" si="30">ROUND(M684*L684,2)</f>
        <v>3.84</v>
      </c>
    </row>
    <row r="685" spans="2:14" x14ac:dyDescent="0.25">
      <c r="B685" s="224" t="s">
        <v>15</v>
      </c>
      <c r="C685" s="225">
        <v>88247</v>
      </c>
      <c r="D685" s="133" t="s">
        <v>97</v>
      </c>
      <c r="E685" s="134"/>
      <c r="F685" s="134"/>
      <c r="G685" s="134"/>
      <c r="H685" s="134"/>
      <c r="I685" s="134"/>
      <c r="J685" s="135"/>
      <c r="K685" s="89" t="s">
        <v>17</v>
      </c>
      <c r="L685" s="90">
        <v>0.3</v>
      </c>
      <c r="M685" s="168">
        <v>17.75</v>
      </c>
      <c r="N685" s="227">
        <f t="shared" si="30"/>
        <v>5.33</v>
      </c>
    </row>
    <row r="686" spans="2:14" x14ac:dyDescent="0.25">
      <c r="B686" s="224" t="s">
        <v>15</v>
      </c>
      <c r="C686" s="225">
        <v>88264</v>
      </c>
      <c r="D686" s="133" t="s">
        <v>98</v>
      </c>
      <c r="E686" s="134"/>
      <c r="F686" s="134"/>
      <c r="G686" s="134"/>
      <c r="H686" s="134"/>
      <c r="I686" s="134"/>
      <c r="J686" s="135"/>
      <c r="K686" s="89" t="s">
        <v>17</v>
      </c>
      <c r="L686" s="90">
        <v>0.3</v>
      </c>
      <c r="M686" s="168">
        <v>21.52</v>
      </c>
      <c r="N686" s="227">
        <f t="shared" si="30"/>
        <v>6.46</v>
      </c>
    </row>
    <row r="687" spans="2:14" x14ac:dyDescent="0.25">
      <c r="B687" s="96"/>
      <c r="C687" s="97"/>
      <c r="D687" s="37" t="s">
        <v>34</v>
      </c>
      <c r="E687" s="38"/>
      <c r="F687" s="38"/>
      <c r="G687" s="38"/>
      <c r="H687" s="38"/>
      <c r="I687" s="38"/>
      <c r="J687" s="38"/>
      <c r="K687" s="73"/>
      <c r="L687" s="74"/>
      <c r="M687" s="226"/>
      <c r="N687" s="105">
        <f>SUM(N684:N686)</f>
        <v>15.629999999999999</v>
      </c>
    </row>
    <row r="688" spans="2:14" x14ac:dyDescent="0.25">
      <c r="B688" s="25"/>
      <c r="C688" s="25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</row>
    <row r="689" spans="2:14" x14ac:dyDescent="0.25">
      <c r="B689" s="74" t="s">
        <v>20</v>
      </c>
      <c r="C689" s="37" t="s">
        <v>3</v>
      </c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73"/>
    </row>
    <row r="690" spans="2:14" x14ac:dyDescent="0.25">
      <c r="B690" s="131" t="str">
        <f>[1]ORÇ!B374</f>
        <v>SINAPI</v>
      </c>
      <c r="C690" s="132"/>
      <c r="D690" s="133" t="s">
        <v>338</v>
      </c>
      <c r="E690" s="134"/>
      <c r="F690" s="134"/>
      <c r="G690" s="134"/>
      <c r="H690" s="134"/>
      <c r="I690" s="134"/>
      <c r="J690" s="134"/>
      <c r="K690" s="134"/>
      <c r="L690" s="135"/>
      <c r="M690" s="45" t="s">
        <v>5</v>
      </c>
      <c r="N690" s="228" t="s">
        <v>6</v>
      </c>
    </row>
    <row r="691" spans="2:14" x14ac:dyDescent="0.25">
      <c r="B691" s="47" t="s">
        <v>339</v>
      </c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9"/>
    </row>
    <row r="692" spans="2:14" x14ac:dyDescent="0.25">
      <c r="B692" s="84" t="s">
        <v>8</v>
      </c>
      <c r="C692" s="52" t="s">
        <v>9</v>
      </c>
      <c r="D692" s="50"/>
      <c r="E692" s="50"/>
      <c r="F692" s="50"/>
      <c r="G692" s="50" t="s">
        <v>10</v>
      </c>
      <c r="H692" s="50"/>
      <c r="I692" s="50"/>
      <c r="J692" s="51"/>
      <c r="K692" s="52" t="s">
        <v>11</v>
      </c>
      <c r="L692" s="52" t="s">
        <v>12</v>
      </c>
      <c r="M692" s="192" t="s">
        <v>13</v>
      </c>
      <c r="N692" s="45" t="s">
        <v>14</v>
      </c>
    </row>
    <row r="693" spans="2:14" x14ac:dyDescent="0.25">
      <c r="B693" s="85" t="s">
        <v>26</v>
      </c>
      <c r="C693" s="229">
        <v>39319</v>
      </c>
      <c r="D693" s="133" t="s">
        <v>340</v>
      </c>
      <c r="E693" s="134"/>
      <c r="F693" s="134"/>
      <c r="G693" s="134"/>
      <c r="H693" s="134"/>
      <c r="I693" s="134"/>
      <c r="J693" s="135"/>
      <c r="K693" s="89" t="s">
        <v>341</v>
      </c>
      <c r="L693" s="93">
        <v>1</v>
      </c>
      <c r="M693" s="168">
        <v>7.43</v>
      </c>
      <c r="N693" s="230">
        <f t="shared" ref="N693:N698" si="31">ROUND(M693*L693,2)</f>
        <v>7.43</v>
      </c>
    </row>
    <row r="694" spans="2:14" x14ac:dyDescent="0.25">
      <c r="B694" s="85" t="s">
        <v>15</v>
      </c>
      <c r="C694" s="229">
        <v>88248</v>
      </c>
      <c r="D694" s="133" t="s">
        <v>209</v>
      </c>
      <c r="E694" s="134"/>
      <c r="F694" s="134"/>
      <c r="G694" s="134"/>
      <c r="H694" s="134"/>
      <c r="I694" s="134"/>
      <c r="J694" s="135"/>
      <c r="K694" s="89" t="s">
        <v>17</v>
      </c>
      <c r="L694" s="93">
        <v>0.6</v>
      </c>
      <c r="M694" s="168">
        <v>16.989999999999998</v>
      </c>
      <c r="N694" s="230">
        <f t="shared" si="31"/>
        <v>10.19</v>
      </c>
    </row>
    <row r="695" spans="2:14" x14ac:dyDescent="0.25">
      <c r="B695" s="85" t="s">
        <v>15</v>
      </c>
      <c r="C695" s="229">
        <v>88267</v>
      </c>
      <c r="D695" s="133" t="s">
        <v>210</v>
      </c>
      <c r="E695" s="134"/>
      <c r="F695" s="134"/>
      <c r="G695" s="134"/>
      <c r="H695" s="134"/>
      <c r="I695" s="134"/>
      <c r="J695" s="135"/>
      <c r="K695" s="89" t="s">
        <v>17</v>
      </c>
      <c r="L695" s="93">
        <v>0.6</v>
      </c>
      <c r="M695" s="168">
        <v>20.7</v>
      </c>
      <c r="N695" s="230">
        <f t="shared" si="31"/>
        <v>12.42</v>
      </c>
    </row>
    <row r="696" spans="2:14" x14ac:dyDescent="0.25">
      <c r="B696" s="85" t="s">
        <v>26</v>
      </c>
      <c r="C696" s="229">
        <v>122</v>
      </c>
      <c r="D696" s="133" t="s">
        <v>342</v>
      </c>
      <c r="E696" s="134"/>
      <c r="F696" s="134"/>
      <c r="G696" s="134"/>
      <c r="H696" s="134"/>
      <c r="I696" s="134"/>
      <c r="J696" s="135"/>
      <c r="K696" s="89" t="s">
        <v>245</v>
      </c>
      <c r="L696" s="90">
        <v>0.02</v>
      </c>
      <c r="M696" s="168">
        <v>58.09</v>
      </c>
      <c r="N696" s="227">
        <f t="shared" si="31"/>
        <v>1.1599999999999999</v>
      </c>
    </row>
    <row r="697" spans="2:14" x14ac:dyDescent="0.25">
      <c r="B697" s="85" t="s">
        <v>26</v>
      </c>
      <c r="C697" s="229">
        <v>20078</v>
      </c>
      <c r="D697" s="133" t="s">
        <v>343</v>
      </c>
      <c r="E697" s="134"/>
      <c r="F697" s="134"/>
      <c r="G697" s="134"/>
      <c r="H697" s="134"/>
      <c r="I697" s="134"/>
      <c r="J697" s="135"/>
      <c r="K697" s="89" t="s">
        <v>245</v>
      </c>
      <c r="L697" s="90">
        <v>0.02</v>
      </c>
      <c r="M697" s="168">
        <v>23.97</v>
      </c>
      <c r="N697" s="227">
        <f t="shared" si="31"/>
        <v>0.48</v>
      </c>
    </row>
    <row r="698" spans="2:14" x14ac:dyDescent="0.25">
      <c r="B698" s="85" t="s">
        <v>26</v>
      </c>
      <c r="C698" s="229">
        <v>38383</v>
      </c>
      <c r="D698" s="133" t="s">
        <v>344</v>
      </c>
      <c r="E698" s="134"/>
      <c r="F698" s="134"/>
      <c r="G698" s="134"/>
      <c r="H698" s="134"/>
      <c r="I698" s="134"/>
      <c r="J698" s="135"/>
      <c r="K698" s="89" t="s">
        <v>245</v>
      </c>
      <c r="L698" s="93">
        <v>0.2</v>
      </c>
      <c r="M698" s="168">
        <v>1.46</v>
      </c>
      <c r="N698" s="230">
        <f t="shared" si="31"/>
        <v>0.28999999999999998</v>
      </c>
    </row>
    <row r="699" spans="2:14" x14ac:dyDescent="0.25">
      <c r="B699" s="96"/>
      <c r="C699" s="97"/>
      <c r="D699" s="37" t="s">
        <v>34</v>
      </c>
      <c r="E699" s="38"/>
      <c r="F699" s="38"/>
      <c r="G699" s="38"/>
      <c r="H699" s="38"/>
      <c r="I699" s="38"/>
      <c r="J699" s="38"/>
      <c r="K699" s="73"/>
      <c r="L699" s="74"/>
      <c r="M699" s="226"/>
      <c r="N699" s="105">
        <f>SUM(N693:N698)</f>
        <v>31.97</v>
      </c>
    </row>
    <row r="700" spans="2:14" x14ac:dyDescent="0.25">
      <c r="B700" s="25"/>
      <c r="C700" s="25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</row>
    <row r="701" spans="2:14" x14ac:dyDescent="0.25">
      <c r="B701" s="74" t="s">
        <v>20</v>
      </c>
      <c r="C701" s="37" t="s">
        <v>3</v>
      </c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73"/>
    </row>
    <row r="702" spans="2:14" x14ac:dyDescent="0.25">
      <c r="B702" s="40">
        <f>[1]ORÇ!B474</f>
        <v>0</v>
      </c>
      <c r="C702" s="41"/>
      <c r="D702" s="42" t="s">
        <v>345</v>
      </c>
      <c r="E702" s="43"/>
      <c r="F702" s="43"/>
      <c r="G702" s="43"/>
      <c r="H702" s="43"/>
      <c r="I702" s="43"/>
      <c r="J702" s="43"/>
      <c r="K702" s="43"/>
      <c r="L702" s="44"/>
      <c r="M702" s="45" t="s">
        <v>5</v>
      </c>
      <c r="N702" s="199" t="s">
        <v>6</v>
      </c>
    </row>
    <row r="703" spans="2:14" x14ac:dyDescent="0.25">
      <c r="B703" s="47" t="s">
        <v>346</v>
      </c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9"/>
    </row>
    <row r="704" spans="2:14" x14ac:dyDescent="0.25">
      <c r="B704" s="84" t="s">
        <v>8</v>
      </c>
      <c r="C704" s="52" t="s">
        <v>9</v>
      </c>
      <c r="D704" s="50"/>
      <c r="E704" s="50"/>
      <c r="F704" s="50"/>
      <c r="G704" s="50" t="s">
        <v>10</v>
      </c>
      <c r="H704" s="50"/>
      <c r="I704" s="50"/>
      <c r="J704" s="51"/>
      <c r="K704" s="52" t="s">
        <v>11</v>
      </c>
      <c r="L704" s="52" t="s">
        <v>12</v>
      </c>
      <c r="M704" s="192" t="s">
        <v>13</v>
      </c>
      <c r="N704" s="45" t="s">
        <v>14</v>
      </c>
    </row>
    <row r="705" spans="2:14" x14ac:dyDescent="0.25">
      <c r="B705" s="85" t="s">
        <v>26</v>
      </c>
      <c r="C705" s="225">
        <v>4777</v>
      </c>
      <c r="D705" s="133" t="s">
        <v>347</v>
      </c>
      <c r="E705" s="134"/>
      <c r="F705" s="134"/>
      <c r="G705" s="134"/>
      <c r="H705" s="134"/>
      <c r="I705" s="134"/>
      <c r="J705" s="135"/>
      <c r="K705" s="89" t="s">
        <v>31</v>
      </c>
      <c r="L705" s="93">
        <v>29.8</v>
      </c>
      <c r="M705" s="231">
        <v>10.83</v>
      </c>
      <c r="N705" s="227">
        <f t="shared" ref="N705:N710" si="32">ROUND(M705*L705,2)</f>
        <v>322.73</v>
      </c>
    </row>
    <row r="706" spans="2:14" x14ac:dyDescent="0.25">
      <c r="B706" s="85" t="s">
        <v>26</v>
      </c>
      <c r="C706" s="225">
        <v>1321</v>
      </c>
      <c r="D706" s="133" t="s">
        <v>348</v>
      </c>
      <c r="E706" s="134"/>
      <c r="F706" s="134"/>
      <c r="G706" s="134"/>
      <c r="H706" s="134"/>
      <c r="I706" s="134"/>
      <c r="J706" s="135"/>
      <c r="K706" s="89" t="s">
        <v>31</v>
      </c>
      <c r="L706" s="93">
        <v>34.74</v>
      </c>
      <c r="M706" s="231">
        <v>10.58</v>
      </c>
      <c r="N706" s="227">
        <f t="shared" si="32"/>
        <v>367.55</v>
      </c>
    </row>
    <row r="707" spans="2:14" x14ac:dyDescent="0.25">
      <c r="B707" s="85" t="s">
        <v>15</v>
      </c>
      <c r="C707" s="225">
        <v>94963</v>
      </c>
      <c r="D707" s="133" t="s">
        <v>349</v>
      </c>
      <c r="E707" s="134"/>
      <c r="F707" s="134"/>
      <c r="G707" s="134"/>
      <c r="H707" s="134"/>
      <c r="I707" s="134"/>
      <c r="J707" s="135"/>
      <c r="K707" s="89" t="s">
        <v>25</v>
      </c>
      <c r="L707" s="93">
        <v>0.34160000000000001</v>
      </c>
      <c r="M707" s="231">
        <v>467.02</v>
      </c>
      <c r="N707" s="227">
        <f t="shared" si="32"/>
        <v>159.53</v>
      </c>
    </row>
    <row r="708" spans="2:14" x14ac:dyDescent="0.25">
      <c r="B708" s="85" t="s">
        <v>15</v>
      </c>
      <c r="C708" s="225">
        <v>88315</v>
      </c>
      <c r="D708" s="133" t="s">
        <v>350</v>
      </c>
      <c r="E708" s="134"/>
      <c r="F708" s="134"/>
      <c r="G708" s="134"/>
      <c r="H708" s="134"/>
      <c r="I708" s="134"/>
      <c r="J708" s="135"/>
      <c r="K708" s="89" t="s">
        <v>17</v>
      </c>
      <c r="L708" s="93">
        <v>1.7</v>
      </c>
      <c r="M708" s="231">
        <v>21.19</v>
      </c>
      <c r="N708" s="227">
        <f t="shared" si="32"/>
        <v>36.020000000000003</v>
      </c>
    </row>
    <row r="709" spans="2:14" x14ac:dyDescent="0.25">
      <c r="B709" s="85" t="s">
        <v>15</v>
      </c>
      <c r="C709" s="225">
        <v>88251</v>
      </c>
      <c r="D709" s="133" t="s">
        <v>351</v>
      </c>
      <c r="E709" s="134"/>
      <c r="F709" s="134"/>
      <c r="G709" s="134"/>
      <c r="H709" s="134"/>
      <c r="I709" s="134"/>
      <c r="J709" s="135"/>
      <c r="K709" s="89" t="s">
        <v>17</v>
      </c>
      <c r="L709" s="93">
        <v>1.7</v>
      </c>
      <c r="M709" s="231">
        <v>17.5</v>
      </c>
      <c r="N709" s="227">
        <f t="shared" si="32"/>
        <v>29.75</v>
      </c>
    </row>
    <row r="710" spans="2:14" x14ac:dyDescent="0.25">
      <c r="B710" s="85" t="s">
        <v>15</v>
      </c>
      <c r="C710" s="225">
        <v>88317</v>
      </c>
      <c r="D710" s="133" t="s">
        <v>352</v>
      </c>
      <c r="E710" s="134"/>
      <c r="F710" s="134"/>
      <c r="G710" s="134"/>
      <c r="H710" s="134"/>
      <c r="I710" s="134"/>
      <c r="J710" s="135"/>
      <c r="K710" s="89" t="s">
        <v>17</v>
      </c>
      <c r="L710" s="93">
        <v>1.7</v>
      </c>
      <c r="M710" s="231">
        <v>22.01</v>
      </c>
      <c r="N710" s="227">
        <f t="shared" si="32"/>
        <v>37.42</v>
      </c>
    </row>
    <row r="711" spans="2:14" x14ac:dyDescent="0.25">
      <c r="B711" s="96"/>
      <c r="C711" s="97"/>
      <c r="D711" s="37" t="s">
        <v>34</v>
      </c>
      <c r="E711" s="38"/>
      <c r="F711" s="38"/>
      <c r="G711" s="38"/>
      <c r="H711" s="38"/>
      <c r="I711" s="38"/>
      <c r="J711" s="38"/>
      <c r="K711" s="73"/>
      <c r="L711" s="74"/>
      <c r="M711" s="226"/>
      <c r="N711" s="105">
        <f>SUM(N705:N710)</f>
        <v>952.99999999999989</v>
      </c>
    </row>
    <row r="712" spans="2:14" x14ac:dyDescent="0.25">
      <c r="B712" s="25"/>
      <c r="C712" s="25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</row>
    <row r="713" spans="2:14" x14ac:dyDescent="0.25">
      <c r="B713" s="74" t="s">
        <v>20</v>
      </c>
      <c r="C713" s="37" t="s">
        <v>3</v>
      </c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73"/>
    </row>
    <row r="714" spans="2:14" x14ac:dyDescent="0.25">
      <c r="B714" s="40">
        <f>[1]ORÇ!B475</f>
        <v>0</v>
      </c>
      <c r="C714" s="41"/>
      <c r="D714" s="42" t="s">
        <v>353</v>
      </c>
      <c r="E714" s="43"/>
      <c r="F714" s="43"/>
      <c r="G714" s="43"/>
      <c r="H714" s="43"/>
      <c r="I714" s="43"/>
      <c r="J714" s="43"/>
      <c r="K714" s="43"/>
      <c r="L714" s="44"/>
      <c r="M714" s="45" t="s">
        <v>5</v>
      </c>
      <c r="N714" s="199" t="s">
        <v>6</v>
      </c>
    </row>
    <row r="715" spans="2:14" x14ac:dyDescent="0.25">
      <c r="B715" s="47" t="s">
        <v>354</v>
      </c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9"/>
    </row>
    <row r="716" spans="2:14" x14ac:dyDescent="0.25">
      <c r="B716" s="84" t="s">
        <v>8</v>
      </c>
      <c r="C716" s="52" t="s">
        <v>9</v>
      </c>
      <c r="D716" s="50"/>
      <c r="E716" s="50"/>
      <c r="F716" s="50"/>
      <c r="G716" s="50" t="s">
        <v>10</v>
      </c>
      <c r="H716" s="50"/>
      <c r="I716" s="50"/>
      <c r="J716" s="51"/>
      <c r="K716" s="52" t="s">
        <v>11</v>
      </c>
      <c r="L716" s="52" t="s">
        <v>12</v>
      </c>
      <c r="M716" s="192" t="s">
        <v>13</v>
      </c>
      <c r="N716" s="45" t="s">
        <v>14</v>
      </c>
    </row>
    <row r="717" spans="2:14" x14ac:dyDescent="0.25">
      <c r="B717" s="85" t="s">
        <v>26</v>
      </c>
      <c r="C717" s="225">
        <v>4777</v>
      </c>
      <c r="D717" s="133" t="s">
        <v>347</v>
      </c>
      <c r="E717" s="134"/>
      <c r="F717" s="134"/>
      <c r="G717" s="134"/>
      <c r="H717" s="134"/>
      <c r="I717" s="134"/>
      <c r="J717" s="135"/>
      <c r="K717" s="89" t="s">
        <v>31</v>
      </c>
      <c r="L717" s="93">
        <v>21.25</v>
      </c>
      <c r="M717" s="231">
        <v>10.83</v>
      </c>
      <c r="N717" s="227">
        <f t="shared" ref="N717:N722" si="33">ROUND(M717*L717,2)</f>
        <v>230.14</v>
      </c>
    </row>
    <row r="718" spans="2:14" x14ac:dyDescent="0.25">
      <c r="B718" s="85" t="s">
        <v>26</v>
      </c>
      <c r="C718" s="225">
        <v>1321</v>
      </c>
      <c r="D718" s="133" t="s">
        <v>348</v>
      </c>
      <c r="E718" s="134"/>
      <c r="F718" s="134"/>
      <c r="G718" s="134"/>
      <c r="H718" s="134"/>
      <c r="I718" s="134"/>
      <c r="J718" s="135"/>
      <c r="K718" s="89" t="s">
        <v>31</v>
      </c>
      <c r="L718" s="90">
        <v>20.347999999999999</v>
      </c>
      <c r="M718" s="231">
        <v>10.58</v>
      </c>
      <c r="N718" s="227">
        <f t="shared" si="33"/>
        <v>215.28</v>
      </c>
    </row>
    <row r="719" spans="2:14" x14ac:dyDescent="0.25">
      <c r="B719" s="85" t="s">
        <v>15</v>
      </c>
      <c r="C719" s="225">
        <v>94963</v>
      </c>
      <c r="D719" s="133" t="s">
        <v>349</v>
      </c>
      <c r="E719" s="134"/>
      <c r="F719" s="134"/>
      <c r="G719" s="134"/>
      <c r="H719" s="134"/>
      <c r="I719" s="134"/>
      <c r="J719" s="135"/>
      <c r="K719" s="89" t="s">
        <v>25</v>
      </c>
      <c r="L719" s="90">
        <v>0.24360000000000001</v>
      </c>
      <c r="M719" s="231">
        <v>467.02</v>
      </c>
      <c r="N719" s="227">
        <f t="shared" si="33"/>
        <v>113.77</v>
      </c>
    </row>
    <row r="720" spans="2:14" x14ac:dyDescent="0.25">
      <c r="B720" s="85" t="s">
        <v>15</v>
      </c>
      <c r="C720" s="225">
        <v>88315</v>
      </c>
      <c r="D720" s="133" t="s">
        <v>350</v>
      </c>
      <c r="E720" s="134"/>
      <c r="F720" s="134"/>
      <c r="G720" s="134"/>
      <c r="H720" s="134"/>
      <c r="I720" s="134"/>
      <c r="J720" s="135"/>
      <c r="K720" s="89" t="s">
        <v>17</v>
      </c>
      <c r="L720" s="90">
        <v>1.5</v>
      </c>
      <c r="M720" s="231">
        <v>21.19</v>
      </c>
      <c r="N720" s="227">
        <f t="shared" si="33"/>
        <v>31.79</v>
      </c>
    </row>
    <row r="721" spans="2:14" x14ac:dyDescent="0.25">
      <c r="B721" s="85" t="s">
        <v>15</v>
      </c>
      <c r="C721" s="225">
        <v>88251</v>
      </c>
      <c r="D721" s="133" t="s">
        <v>351</v>
      </c>
      <c r="E721" s="134"/>
      <c r="F721" s="134"/>
      <c r="G721" s="134"/>
      <c r="H721" s="134"/>
      <c r="I721" s="134"/>
      <c r="J721" s="135"/>
      <c r="K721" s="89" t="s">
        <v>17</v>
      </c>
      <c r="L721" s="90">
        <v>1.5</v>
      </c>
      <c r="M721" s="231">
        <v>17.5</v>
      </c>
      <c r="N721" s="227">
        <f t="shared" si="33"/>
        <v>26.25</v>
      </c>
    </row>
    <row r="722" spans="2:14" x14ac:dyDescent="0.25">
      <c r="B722" s="85" t="s">
        <v>15</v>
      </c>
      <c r="C722" s="225">
        <v>88317</v>
      </c>
      <c r="D722" s="133" t="s">
        <v>352</v>
      </c>
      <c r="E722" s="134"/>
      <c r="F722" s="134"/>
      <c r="G722" s="134"/>
      <c r="H722" s="134"/>
      <c r="I722" s="134"/>
      <c r="J722" s="135"/>
      <c r="K722" s="89" t="s">
        <v>17</v>
      </c>
      <c r="L722" s="90">
        <v>1.5</v>
      </c>
      <c r="M722" s="231">
        <v>22.01</v>
      </c>
      <c r="N722" s="227">
        <f t="shared" si="33"/>
        <v>33.020000000000003</v>
      </c>
    </row>
    <row r="723" spans="2:14" x14ac:dyDescent="0.25">
      <c r="B723" s="96"/>
      <c r="C723" s="97"/>
      <c r="D723" s="37" t="s">
        <v>34</v>
      </c>
      <c r="E723" s="38"/>
      <c r="F723" s="38"/>
      <c r="G723" s="38"/>
      <c r="H723" s="38"/>
      <c r="I723" s="38"/>
      <c r="J723" s="38"/>
      <c r="K723" s="73"/>
      <c r="L723" s="74"/>
      <c r="M723" s="226"/>
      <c r="N723" s="105">
        <f>SUM(N717:N722)</f>
        <v>650.24999999999989</v>
      </c>
    </row>
    <row r="724" spans="2:14" x14ac:dyDescent="0.25">
      <c r="B724" s="25"/>
      <c r="C724" s="25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</row>
    <row r="725" spans="2:14" x14ac:dyDescent="0.25">
      <c r="B725" s="74" t="s">
        <v>20</v>
      </c>
      <c r="C725" s="74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</row>
    <row r="726" spans="2:14" x14ac:dyDescent="0.25">
      <c r="B726" s="40" t="str">
        <f>[1]ORÇ!B398</f>
        <v>COMPOSIÇÃO 70</v>
      </c>
      <c r="C726" s="41"/>
      <c r="D726" s="42" t="s">
        <v>355</v>
      </c>
      <c r="E726" s="43"/>
      <c r="F726" s="43"/>
      <c r="G726" s="43"/>
      <c r="H726" s="43"/>
      <c r="I726" s="43"/>
      <c r="J726" s="43"/>
      <c r="K726" s="43"/>
      <c r="L726" s="44"/>
      <c r="M726" s="45"/>
      <c r="N726" s="199" t="s">
        <v>6</v>
      </c>
    </row>
    <row r="727" spans="2:14" x14ac:dyDescent="0.25">
      <c r="B727" s="47" t="s">
        <v>356</v>
      </c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9"/>
    </row>
    <row r="728" spans="2:14" x14ac:dyDescent="0.25">
      <c r="B728" s="84" t="s">
        <v>8</v>
      </c>
      <c r="C728" s="52" t="s">
        <v>9</v>
      </c>
      <c r="D728" s="50"/>
      <c r="E728" s="50"/>
      <c r="F728" s="50"/>
      <c r="G728" s="50" t="s">
        <v>10</v>
      </c>
      <c r="H728" s="50"/>
      <c r="I728" s="50"/>
      <c r="J728" s="51"/>
      <c r="K728" s="52" t="s">
        <v>11</v>
      </c>
      <c r="L728" s="52" t="s">
        <v>12</v>
      </c>
      <c r="M728" s="192" t="s">
        <v>13</v>
      </c>
      <c r="N728" s="45" t="s">
        <v>14</v>
      </c>
    </row>
    <row r="729" spans="2:14" x14ac:dyDescent="0.25">
      <c r="B729" s="85" t="s">
        <v>26</v>
      </c>
      <c r="C729" s="225">
        <v>21127</v>
      </c>
      <c r="D729" s="133" t="s">
        <v>357</v>
      </c>
      <c r="E729" s="134"/>
      <c r="F729" s="134"/>
      <c r="G729" s="134"/>
      <c r="H729" s="134"/>
      <c r="I729" s="134"/>
      <c r="J729" s="135"/>
      <c r="K729" s="120" t="s">
        <v>358</v>
      </c>
      <c r="L729" s="93">
        <v>0.14399999999999999</v>
      </c>
      <c r="M729" s="231">
        <v>3.78</v>
      </c>
      <c r="N729" s="227">
        <f t="shared" ref="N729:N732" si="34">ROUND(M729*L729,2)</f>
        <v>0.54</v>
      </c>
    </row>
    <row r="730" spans="2:14" x14ac:dyDescent="0.25">
      <c r="B730" s="101" t="s">
        <v>41</v>
      </c>
      <c r="C730" s="102"/>
      <c r="D730" s="133" t="s">
        <v>359</v>
      </c>
      <c r="E730" s="134"/>
      <c r="F730" s="134"/>
      <c r="G730" s="134"/>
      <c r="H730" s="134"/>
      <c r="I730" s="134"/>
      <c r="J730" s="135"/>
      <c r="K730" s="120" t="s">
        <v>358</v>
      </c>
      <c r="L730" s="90">
        <v>1</v>
      </c>
      <c r="M730" s="231">
        <v>155.62</v>
      </c>
      <c r="N730" s="227">
        <f t="shared" si="34"/>
        <v>155.62</v>
      </c>
    </row>
    <row r="731" spans="2:14" x14ac:dyDescent="0.25">
      <c r="B731" s="85" t="s">
        <v>15</v>
      </c>
      <c r="C731" s="225">
        <v>88247</v>
      </c>
      <c r="D731" s="133" t="s">
        <v>360</v>
      </c>
      <c r="E731" s="134"/>
      <c r="F731" s="134"/>
      <c r="G731" s="134"/>
      <c r="H731" s="134"/>
      <c r="I731" s="134"/>
      <c r="J731" s="135"/>
      <c r="K731" s="89" t="s">
        <v>17</v>
      </c>
      <c r="L731" s="90">
        <v>2.3380000000000001</v>
      </c>
      <c r="M731" s="232">
        <v>17.75</v>
      </c>
      <c r="N731" s="227">
        <f t="shared" si="34"/>
        <v>41.5</v>
      </c>
    </row>
    <row r="732" spans="2:14" x14ac:dyDescent="0.25">
      <c r="B732" s="85" t="s">
        <v>15</v>
      </c>
      <c r="C732" s="225">
        <v>88264</v>
      </c>
      <c r="D732" s="133" t="s">
        <v>361</v>
      </c>
      <c r="E732" s="134"/>
      <c r="F732" s="134"/>
      <c r="G732" s="134"/>
      <c r="H732" s="134"/>
      <c r="I732" s="134"/>
      <c r="J732" s="135"/>
      <c r="K732" s="89" t="s">
        <v>17</v>
      </c>
      <c r="L732" s="90">
        <v>1.9139999999999999</v>
      </c>
      <c r="M732" s="231">
        <v>21.52</v>
      </c>
      <c r="N732" s="227">
        <f t="shared" si="34"/>
        <v>41.19</v>
      </c>
    </row>
    <row r="733" spans="2:14" x14ac:dyDescent="0.25">
      <c r="B733" s="96"/>
      <c r="C733" s="97"/>
      <c r="D733" s="37" t="s">
        <v>34</v>
      </c>
      <c r="E733" s="38"/>
      <c r="F733" s="38"/>
      <c r="G733" s="38"/>
      <c r="H733" s="38"/>
      <c r="I733" s="38"/>
      <c r="J733" s="38"/>
      <c r="K733" s="73"/>
      <c r="L733" s="74"/>
      <c r="M733" s="226"/>
      <c r="N733" s="105">
        <f>SUM(N729:N732)</f>
        <v>238.85</v>
      </c>
    </row>
    <row r="734" spans="2:14" x14ac:dyDescent="0.25">
      <c r="B734" s="25"/>
      <c r="C734" s="25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</row>
    <row r="735" spans="2:14" x14ac:dyDescent="0.25">
      <c r="B735" s="74" t="s">
        <v>20</v>
      </c>
      <c r="C735" s="37" t="s">
        <v>3</v>
      </c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73"/>
    </row>
    <row r="736" spans="2:14" x14ac:dyDescent="0.25">
      <c r="B736" s="40" t="str">
        <f>[1]ORÇ!B400</f>
        <v>SEDOP</v>
      </c>
      <c r="C736" s="41"/>
      <c r="D736" s="42" t="s">
        <v>362</v>
      </c>
      <c r="E736" s="43"/>
      <c r="F736" s="43"/>
      <c r="G736" s="43"/>
      <c r="H736" s="43"/>
      <c r="I736" s="43"/>
      <c r="J736" s="43"/>
      <c r="K736" s="43"/>
      <c r="L736" s="44"/>
      <c r="M736" s="45" t="s">
        <v>5</v>
      </c>
      <c r="N736" s="199" t="s">
        <v>6</v>
      </c>
    </row>
    <row r="737" spans="2:14" x14ac:dyDescent="0.25">
      <c r="B737" s="47" t="s">
        <v>363</v>
      </c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9"/>
    </row>
    <row r="738" spans="2:14" x14ac:dyDescent="0.25">
      <c r="B738" s="84" t="s">
        <v>8</v>
      </c>
      <c r="C738" s="52" t="s">
        <v>9</v>
      </c>
      <c r="D738" s="50"/>
      <c r="E738" s="50"/>
      <c r="F738" s="50"/>
      <c r="G738" s="50" t="s">
        <v>10</v>
      </c>
      <c r="H738" s="50"/>
      <c r="I738" s="50"/>
      <c r="J738" s="51"/>
      <c r="K738" s="52" t="s">
        <v>11</v>
      </c>
      <c r="L738" s="52" t="s">
        <v>12</v>
      </c>
      <c r="M738" s="192" t="s">
        <v>13</v>
      </c>
      <c r="N738" s="45" t="s">
        <v>14</v>
      </c>
    </row>
    <row r="739" spans="2:14" x14ac:dyDescent="0.25">
      <c r="B739" s="101" t="s">
        <v>41</v>
      </c>
      <c r="C739" s="102"/>
      <c r="D739" s="133" t="s">
        <v>364</v>
      </c>
      <c r="E739" s="134"/>
      <c r="F739" s="134"/>
      <c r="G739" s="134"/>
      <c r="H739" s="134"/>
      <c r="I739" s="134"/>
      <c r="J739" s="135"/>
      <c r="K739" s="120" t="s">
        <v>358</v>
      </c>
      <c r="L739" s="93">
        <v>1</v>
      </c>
      <c r="M739" s="231">
        <v>340</v>
      </c>
      <c r="N739" s="227">
        <f t="shared" ref="N739:N741" si="35">ROUND(M739*L739,2)</f>
        <v>340</v>
      </c>
    </row>
    <row r="740" spans="2:14" x14ac:dyDescent="0.25">
      <c r="B740" s="85" t="s">
        <v>15</v>
      </c>
      <c r="C740" s="225">
        <v>88247</v>
      </c>
      <c r="D740" s="133" t="s">
        <v>360</v>
      </c>
      <c r="E740" s="134"/>
      <c r="F740" s="134"/>
      <c r="G740" s="134"/>
      <c r="H740" s="134"/>
      <c r="I740" s="134"/>
      <c r="J740" s="135"/>
      <c r="K740" s="89" t="s">
        <v>17</v>
      </c>
      <c r="L740" s="90">
        <v>3.367</v>
      </c>
      <c r="M740" s="232">
        <v>17.75</v>
      </c>
      <c r="N740" s="227">
        <f t="shared" si="35"/>
        <v>59.76</v>
      </c>
    </row>
    <row r="741" spans="2:14" x14ac:dyDescent="0.25">
      <c r="B741" s="85" t="s">
        <v>15</v>
      </c>
      <c r="C741" s="225">
        <v>88264</v>
      </c>
      <c r="D741" s="133" t="s">
        <v>361</v>
      </c>
      <c r="E741" s="134"/>
      <c r="F741" s="134"/>
      <c r="G741" s="134"/>
      <c r="H741" s="134"/>
      <c r="I741" s="134"/>
      <c r="J741" s="135"/>
      <c r="K741" s="89" t="s">
        <v>17</v>
      </c>
      <c r="L741" s="90">
        <v>2.9460000000000002</v>
      </c>
      <c r="M741" s="231">
        <v>21.52</v>
      </c>
      <c r="N741" s="227">
        <f t="shared" si="35"/>
        <v>63.4</v>
      </c>
    </row>
    <row r="742" spans="2:14" x14ac:dyDescent="0.25">
      <c r="B742" s="96"/>
      <c r="C742" s="97"/>
      <c r="D742" s="37" t="s">
        <v>34</v>
      </c>
      <c r="E742" s="38"/>
      <c r="F742" s="38"/>
      <c r="G742" s="38"/>
      <c r="H742" s="38"/>
      <c r="I742" s="38"/>
      <c r="J742" s="38"/>
      <c r="K742" s="73"/>
      <c r="L742" s="74"/>
      <c r="M742" s="226"/>
      <c r="N742" s="105">
        <f>SUM(N739:N741)</f>
        <v>463.15999999999997</v>
      </c>
    </row>
    <row r="743" spans="2:14" x14ac:dyDescent="0.25">
      <c r="B743" s="25"/>
      <c r="C743" s="25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</row>
    <row r="744" spans="2:14" x14ac:dyDescent="0.25">
      <c r="B744" s="74" t="s">
        <v>20</v>
      </c>
      <c r="C744" s="37" t="s">
        <v>3</v>
      </c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73"/>
    </row>
    <row r="745" spans="2:14" x14ac:dyDescent="0.25">
      <c r="B745" s="40" t="str">
        <f>[1]ORÇ!B401</f>
        <v>COMPOSIÇÃO 71</v>
      </c>
      <c r="C745" s="41"/>
      <c r="D745" s="42" t="s">
        <v>365</v>
      </c>
      <c r="E745" s="43"/>
      <c r="F745" s="43"/>
      <c r="G745" s="43"/>
      <c r="H745" s="43"/>
      <c r="I745" s="43"/>
      <c r="J745" s="43"/>
      <c r="K745" s="43"/>
      <c r="L745" s="44"/>
      <c r="M745" s="45" t="s">
        <v>5</v>
      </c>
      <c r="N745" s="199" t="s">
        <v>6</v>
      </c>
    </row>
    <row r="746" spans="2:14" x14ac:dyDescent="0.25">
      <c r="B746" s="47" t="s">
        <v>366</v>
      </c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9"/>
    </row>
    <row r="747" spans="2:14" x14ac:dyDescent="0.25">
      <c r="B747" s="84" t="s">
        <v>8</v>
      </c>
      <c r="C747" s="52" t="s">
        <v>9</v>
      </c>
      <c r="D747" s="50"/>
      <c r="E747" s="50"/>
      <c r="F747" s="50"/>
      <c r="G747" s="50" t="s">
        <v>10</v>
      </c>
      <c r="H747" s="50"/>
      <c r="I747" s="50"/>
      <c r="J747" s="51"/>
      <c r="K747" s="52" t="s">
        <v>11</v>
      </c>
      <c r="L747" s="52" t="s">
        <v>12</v>
      </c>
      <c r="M747" s="192" t="s">
        <v>13</v>
      </c>
      <c r="N747" s="45" t="s">
        <v>14</v>
      </c>
    </row>
    <row r="748" spans="2:14" x14ac:dyDescent="0.25">
      <c r="B748" s="101" t="s">
        <v>41</v>
      </c>
      <c r="C748" s="102"/>
      <c r="D748" s="133" t="s">
        <v>367</v>
      </c>
      <c r="E748" s="134"/>
      <c r="F748" s="134"/>
      <c r="G748" s="134"/>
      <c r="H748" s="134"/>
      <c r="I748" s="134"/>
      <c r="J748" s="135"/>
      <c r="K748" s="120" t="s">
        <v>358</v>
      </c>
      <c r="L748" s="93">
        <v>1</v>
      </c>
      <c r="M748" s="231">
        <v>68</v>
      </c>
      <c r="N748" s="227">
        <f t="shared" ref="N748:N750" si="36">ROUND(M748*L748,2)</f>
        <v>68</v>
      </c>
    </row>
    <row r="749" spans="2:14" x14ac:dyDescent="0.25">
      <c r="B749" s="85" t="s">
        <v>15</v>
      </c>
      <c r="C749" s="225">
        <v>88247</v>
      </c>
      <c r="D749" s="133" t="s">
        <v>360</v>
      </c>
      <c r="E749" s="134"/>
      <c r="F749" s="134"/>
      <c r="G749" s="134"/>
      <c r="H749" s="134"/>
      <c r="I749" s="134"/>
      <c r="J749" s="135"/>
      <c r="K749" s="89" t="s">
        <v>17</v>
      </c>
      <c r="L749" s="90">
        <v>0.61299999999999999</v>
      </c>
      <c r="M749" s="232">
        <v>17.75</v>
      </c>
      <c r="N749" s="227">
        <f t="shared" si="36"/>
        <v>10.88</v>
      </c>
    </row>
    <row r="750" spans="2:14" x14ac:dyDescent="0.25">
      <c r="B750" s="85" t="s">
        <v>15</v>
      </c>
      <c r="C750" s="225">
        <v>88264</v>
      </c>
      <c r="D750" s="133" t="s">
        <v>361</v>
      </c>
      <c r="E750" s="134"/>
      <c r="F750" s="134"/>
      <c r="G750" s="134"/>
      <c r="H750" s="134"/>
      <c r="I750" s="134"/>
      <c r="J750" s="135"/>
      <c r="K750" s="89" t="s">
        <v>17</v>
      </c>
      <c r="L750" s="90">
        <v>0.61299999999999999</v>
      </c>
      <c r="M750" s="231">
        <v>21.52</v>
      </c>
      <c r="N750" s="227">
        <f t="shared" si="36"/>
        <v>13.19</v>
      </c>
    </row>
    <row r="751" spans="2:14" x14ac:dyDescent="0.25">
      <c r="B751" s="96"/>
      <c r="C751" s="97"/>
      <c r="D751" s="37" t="s">
        <v>34</v>
      </c>
      <c r="E751" s="38"/>
      <c r="F751" s="38"/>
      <c r="G751" s="38"/>
      <c r="H751" s="38"/>
      <c r="I751" s="38"/>
      <c r="J751" s="38"/>
      <c r="K751" s="73"/>
      <c r="L751" s="74"/>
      <c r="M751" s="226"/>
      <c r="N751" s="105">
        <f>SUM(N748:N750)</f>
        <v>92.07</v>
      </c>
    </row>
    <row r="752" spans="2:14" x14ac:dyDescent="0.25">
      <c r="B752" s="25"/>
      <c r="C752" s="25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</row>
    <row r="753" spans="2:14" x14ac:dyDescent="0.25">
      <c r="B753" s="74" t="s">
        <v>20</v>
      </c>
      <c r="C753" s="37" t="s">
        <v>3</v>
      </c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73"/>
    </row>
    <row r="754" spans="2:14" x14ac:dyDescent="0.25">
      <c r="B754" s="40" t="str">
        <f>[1]ORÇ!B404</f>
        <v>COMPOSIÇÃO 74</v>
      </c>
      <c r="C754" s="41"/>
      <c r="D754" s="42" t="s">
        <v>368</v>
      </c>
      <c r="E754" s="43"/>
      <c r="F754" s="43"/>
      <c r="G754" s="43"/>
      <c r="H754" s="43"/>
      <c r="I754" s="43"/>
      <c r="J754" s="43"/>
      <c r="K754" s="43"/>
      <c r="L754" s="44"/>
      <c r="M754" s="45" t="s">
        <v>5</v>
      </c>
      <c r="N754" s="199" t="s">
        <v>6</v>
      </c>
    </row>
    <row r="755" spans="2:14" x14ac:dyDescent="0.25">
      <c r="B755" s="47" t="s">
        <v>369</v>
      </c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9"/>
    </row>
    <row r="756" spans="2:14" x14ac:dyDescent="0.25">
      <c r="B756" s="84" t="s">
        <v>8</v>
      </c>
      <c r="C756" s="52" t="s">
        <v>9</v>
      </c>
      <c r="D756" s="50"/>
      <c r="E756" s="50"/>
      <c r="F756" s="50"/>
      <c r="G756" s="50" t="s">
        <v>10</v>
      </c>
      <c r="H756" s="50"/>
      <c r="I756" s="50"/>
      <c r="J756" s="51"/>
      <c r="K756" s="52" t="s">
        <v>11</v>
      </c>
      <c r="L756" s="52" t="s">
        <v>12</v>
      </c>
      <c r="M756" s="192" t="s">
        <v>13</v>
      </c>
      <c r="N756" s="45" t="s">
        <v>14</v>
      </c>
    </row>
    <row r="757" spans="2:14" x14ac:dyDescent="0.25">
      <c r="B757" s="101" t="s">
        <v>41</v>
      </c>
      <c r="C757" s="102"/>
      <c r="D757" s="133" t="s">
        <v>370</v>
      </c>
      <c r="E757" s="134"/>
      <c r="F757" s="134"/>
      <c r="G757" s="134"/>
      <c r="H757" s="134"/>
      <c r="I757" s="134"/>
      <c r="J757" s="135"/>
      <c r="K757" s="120" t="s">
        <v>358</v>
      </c>
      <c r="L757" s="90">
        <v>1</v>
      </c>
      <c r="M757" s="231">
        <v>449.99</v>
      </c>
      <c r="N757" s="233">
        <f t="shared" ref="N757:N759" si="37">ROUND(M757*L757,2)</f>
        <v>449.99</v>
      </c>
    </row>
    <row r="758" spans="2:14" x14ac:dyDescent="0.25">
      <c r="B758" s="85" t="s">
        <v>15</v>
      </c>
      <c r="C758" s="225">
        <v>88248</v>
      </c>
      <c r="D758" s="133" t="s">
        <v>371</v>
      </c>
      <c r="E758" s="134"/>
      <c r="F758" s="134"/>
      <c r="G758" s="134"/>
      <c r="H758" s="134"/>
      <c r="I758" s="134"/>
      <c r="J758" s="135"/>
      <c r="K758" s="89" t="s">
        <v>17</v>
      </c>
      <c r="L758" s="90">
        <v>1.6839999999999999</v>
      </c>
      <c r="M758" s="232">
        <v>16.989999999999998</v>
      </c>
      <c r="N758" s="233">
        <f t="shared" si="37"/>
        <v>28.61</v>
      </c>
    </row>
    <row r="759" spans="2:14" x14ac:dyDescent="0.25">
      <c r="B759" s="85" t="s">
        <v>15</v>
      </c>
      <c r="C759" s="225">
        <v>88267</v>
      </c>
      <c r="D759" s="133" t="s">
        <v>372</v>
      </c>
      <c r="E759" s="134"/>
      <c r="F759" s="134"/>
      <c r="G759" s="134"/>
      <c r="H759" s="134"/>
      <c r="I759" s="134"/>
      <c r="J759" s="135"/>
      <c r="K759" s="89" t="s">
        <v>17</v>
      </c>
      <c r="L759" s="90">
        <v>1.6839999999999999</v>
      </c>
      <c r="M759" s="231">
        <v>20.7</v>
      </c>
      <c r="N759" s="233">
        <f t="shared" si="37"/>
        <v>34.86</v>
      </c>
    </row>
    <row r="760" spans="2:14" x14ac:dyDescent="0.25">
      <c r="B760" s="96"/>
      <c r="C760" s="97"/>
      <c r="D760" s="37" t="s">
        <v>34</v>
      </c>
      <c r="E760" s="38"/>
      <c r="F760" s="38"/>
      <c r="G760" s="38"/>
      <c r="H760" s="38"/>
      <c r="I760" s="38"/>
      <c r="J760" s="38"/>
      <c r="K760" s="73"/>
      <c r="L760" s="74"/>
      <c r="M760" s="226"/>
      <c r="N760" s="234">
        <f>SUM(N757:N759)</f>
        <v>513.46</v>
      </c>
    </row>
    <row r="761" spans="2:14" x14ac:dyDescent="0.25">
      <c r="B761" s="25"/>
      <c r="C761" s="25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</row>
    <row r="762" spans="2:14" x14ac:dyDescent="0.25">
      <c r="B762" s="74" t="s">
        <v>20</v>
      </c>
      <c r="C762" s="37" t="s">
        <v>3</v>
      </c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73"/>
    </row>
    <row r="763" spans="2:14" x14ac:dyDescent="0.25">
      <c r="B763" s="40" t="str">
        <f>[1]ORÇ!B405</f>
        <v>SINAPI</v>
      </c>
      <c r="C763" s="41"/>
      <c r="D763" s="42" t="s">
        <v>373</v>
      </c>
      <c r="E763" s="43"/>
      <c r="F763" s="43"/>
      <c r="G763" s="43"/>
      <c r="H763" s="43"/>
      <c r="I763" s="43"/>
      <c r="J763" s="43"/>
      <c r="K763" s="43"/>
      <c r="L763" s="44"/>
      <c r="M763" s="45" t="s">
        <v>5</v>
      </c>
      <c r="N763" s="199" t="s">
        <v>6</v>
      </c>
    </row>
    <row r="764" spans="2:14" x14ac:dyDescent="0.25">
      <c r="B764" s="47" t="s">
        <v>374</v>
      </c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9"/>
    </row>
    <row r="765" spans="2:14" x14ac:dyDescent="0.25">
      <c r="B765" s="84" t="s">
        <v>8</v>
      </c>
      <c r="C765" s="52" t="s">
        <v>9</v>
      </c>
      <c r="D765" s="50"/>
      <c r="E765" s="50"/>
      <c r="F765" s="50"/>
      <c r="G765" s="50" t="s">
        <v>10</v>
      </c>
      <c r="H765" s="50"/>
      <c r="I765" s="50"/>
      <c r="J765" s="51"/>
      <c r="K765" s="52" t="s">
        <v>11</v>
      </c>
      <c r="L765" s="52" t="s">
        <v>12</v>
      </c>
      <c r="M765" s="192" t="s">
        <v>13</v>
      </c>
      <c r="N765" s="45" t="s">
        <v>14</v>
      </c>
    </row>
    <row r="766" spans="2:14" x14ac:dyDescent="0.25">
      <c r="B766" s="85" t="s">
        <v>26</v>
      </c>
      <c r="C766" s="225">
        <v>12435</v>
      </c>
      <c r="D766" s="133" t="s">
        <v>375</v>
      </c>
      <c r="E766" s="134"/>
      <c r="F766" s="134"/>
      <c r="G766" s="134"/>
      <c r="H766" s="134"/>
      <c r="I766" s="134"/>
      <c r="J766" s="135"/>
      <c r="K766" s="120" t="s">
        <v>358</v>
      </c>
      <c r="L766" s="93">
        <v>1</v>
      </c>
      <c r="M766" s="231">
        <v>321.51</v>
      </c>
      <c r="N766" s="233">
        <f t="shared" ref="N766:N770" si="38">ROUND(M766*L766,2)</f>
        <v>321.51</v>
      </c>
    </row>
    <row r="767" spans="2:14" x14ac:dyDescent="0.25">
      <c r="B767" s="85" t="s">
        <v>26</v>
      </c>
      <c r="C767" s="225">
        <v>3148</v>
      </c>
      <c r="D767" s="133" t="s">
        <v>376</v>
      </c>
      <c r="E767" s="134"/>
      <c r="F767" s="134"/>
      <c r="G767" s="134"/>
      <c r="H767" s="134"/>
      <c r="I767" s="134"/>
      <c r="J767" s="135"/>
      <c r="K767" s="120" t="s">
        <v>358</v>
      </c>
      <c r="L767" s="90">
        <v>0.03</v>
      </c>
      <c r="M767" s="231">
        <v>13.27</v>
      </c>
      <c r="N767" s="233">
        <f t="shared" si="38"/>
        <v>0.4</v>
      </c>
    </row>
    <row r="768" spans="2:14" x14ac:dyDescent="0.25">
      <c r="B768" s="85" t="s">
        <v>26</v>
      </c>
      <c r="C768" s="225">
        <v>7307</v>
      </c>
      <c r="D768" s="133" t="s">
        <v>377</v>
      </c>
      <c r="E768" s="134"/>
      <c r="F768" s="134"/>
      <c r="G768" s="134"/>
      <c r="H768" s="134"/>
      <c r="I768" s="134"/>
      <c r="J768" s="135"/>
      <c r="K768" s="120" t="s">
        <v>278</v>
      </c>
      <c r="L768" s="90">
        <v>7.0000000000000001E-3</v>
      </c>
      <c r="M768" s="231">
        <v>29.96</v>
      </c>
      <c r="N768" s="233">
        <f t="shared" si="38"/>
        <v>0.21</v>
      </c>
    </row>
    <row r="769" spans="2:14" x14ac:dyDescent="0.25">
      <c r="B769" s="85" t="s">
        <v>15</v>
      </c>
      <c r="C769" s="225">
        <v>88248</v>
      </c>
      <c r="D769" s="133" t="s">
        <v>371</v>
      </c>
      <c r="E769" s="134"/>
      <c r="F769" s="134"/>
      <c r="G769" s="134"/>
      <c r="H769" s="134"/>
      <c r="I769" s="134"/>
      <c r="J769" s="135"/>
      <c r="K769" s="89" t="s">
        <v>17</v>
      </c>
      <c r="L769" s="90">
        <v>0.73599999999999999</v>
      </c>
      <c r="M769" s="232">
        <v>16.989999999999998</v>
      </c>
      <c r="N769" s="233">
        <f t="shared" si="38"/>
        <v>12.5</v>
      </c>
    </row>
    <row r="770" spans="2:14" x14ac:dyDescent="0.25">
      <c r="B770" s="85" t="s">
        <v>15</v>
      </c>
      <c r="C770" s="225">
        <v>88267</v>
      </c>
      <c r="D770" s="133" t="s">
        <v>372</v>
      </c>
      <c r="E770" s="134"/>
      <c r="F770" s="134"/>
      <c r="G770" s="134"/>
      <c r="H770" s="134"/>
      <c r="I770" s="134"/>
      <c r="J770" s="135"/>
      <c r="K770" s="89" t="s">
        <v>17</v>
      </c>
      <c r="L770" s="90">
        <v>0.73599999999999999</v>
      </c>
      <c r="M770" s="231">
        <v>20.7</v>
      </c>
      <c r="N770" s="233">
        <f t="shared" si="38"/>
        <v>15.24</v>
      </c>
    </row>
    <row r="771" spans="2:14" x14ac:dyDescent="0.25">
      <c r="B771" s="96"/>
      <c r="C771" s="97"/>
      <c r="D771" s="37" t="s">
        <v>34</v>
      </c>
      <c r="E771" s="38"/>
      <c r="F771" s="38"/>
      <c r="G771" s="38"/>
      <c r="H771" s="38"/>
      <c r="I771" s="38"/>
      <c r="J771" s="38"/>
      <c r="K771" s="73"/>
      <c r="L771" s="74"/>
      <c r="M771" s="226"/>
      <c r="N771" s="105">
        <f>SUM(N766:N770)</f>
        <v>349.85999999999996</v>
      </c>
    </row>
    <row r="772" spans="2:14" x14ac:dyDescent="0.25">
      <c r="B772" s="25"/>
      <c r="C772" s="25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</row>
    <row r="773" spans="2:14" x14ac:dyDescent="0.25">
      <c r="B773" s="74" t="s">
        <v>20</v>
      </c>
      <c r="C773" s="37" t="s">
        <v>3</v>
      </c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73"/>
    </row>
    <row r="774" spans="2:14" x14ac:dyDescent="0.25">
      <c r="B774" s="40" t="str">
        <f>[1]ORÇ!B406</f>
        <v>SINAPI</v>
      </c>
      <c r="C774" s="41"/>
      <c r="D774" s="42" t="s">
        <v>378</v>
      </c>
      <c r="E774" s="43"/>
      <c r="F774" s="43"/>
      <c r="G774" s="43"/>
      <c r="H774" s="43"/>
      <c r="I774" s="43"/>
      <c r="J774" s="43"/>
      <c r="K774" s="43"/>
      <c r="L774" s="44"/>
      <c r="M774" s="45" t="s">
        <v>5</v>
      </c>
      <c r="N774" s="199" t="s">
        <v>6</v>
      </c>
    </row>
    <row r="775" spans="2:14" x14ac:dyDescent="0.25">
      <c r="B775" s="47" t="s">
        <v>379</v>
      </c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9"/>
    </row>
    <row r="776" spans="2:14" x14ac:dyDescent="0.25">
      <c r="B776" s="84" t="s">
        <v>8</v>
      </c>
      <c r="C776" s="52" t="s">
        <v>9</v>
      </c>
      <c r="D776" s="50"/>
      <c r="E776" s="50"/>
      <c r="F776" s="50"/>
      <c r="G776" s="50" t="s">
        <v>10</v>
      </c>
      <c r="H776" s="50"/>
      <c r="I776" s="50"/>
      <c r="J776" s="51"/>
      <c r="K776" s="52" t="s">
        <v>11</v>
      </c>
      <c r="L776" s="52" t="s">
        <v>12</v>
      </c>
      <c r="M776" s="192" t="s">
        <v>13</v>
      </c>
      <c r="N776" s="45" t="s">
        <v>14</v>
      </c>
    </row>
    <row r="777" spans="2:14" x14ac:dyDescent="0.25">
      <c r="B777" s="85" t="s">
        <v>26</v>
      </c>
      <c r="C777" s="225">
        <v>12438</v>
      </c>
      <c r="D777" s="133" t="s">
        <v>380</v>
      </c>
      <c r="E777" s="134"/>
      <c r="F777" s="134"/>
      <c r="G777" s="134"/>
      <c r="H777" s="134"/>
      <c r="I777" s="134"/>
      <c r="J777" s="135"/>
      <c r="K777" s="120" t="s">
        <v>358</v>
      </c>
      <c r="L777" s="93">
        <v>1</v>
      </c>
      <c r="M777" s="231">
        <v>469.91</v>
      </c>
      <c r="N777" s="233">
        <f t="shared" ref="N777:N781" si="39">ROUND(M777*L777,2)</f>
        <v>469.91</v>
      </c>
    </row>
    <row r="778" spans="2:14" x14ac:dyDescent="0.25">
      <c r="B778" s="85" t="s">
        <v>26</v>
      </c>
      <c r="C778" s="225">
        <v>3148</v>
      </c>
      <c r="D778" s="133" t="s">
        <v>376</v>
      </c>
      <c r="E778" s="134"/>
      <c r="F778" s="134"/>
      <c r="G778" s="134"/>
      <c r="H778" s="134"/>
      <c r="I778" s="134"/>
      <c r="J778" s="135"/>
      <c r="K778" s="120" t="s">
        <v>358</v>
      </c>
      <c r="L778" s="90">
        <v>0.03</v>
      </c>
      <c r="M778" s="231">
        <v>13.27</v>
      </c>
      <c r="N778" s="233">
        <f t="shared" si="39"/>
        <v>0.4</v>
      </c>
    </row>
    <row r="779" spans="2:14" x14ac:dyDescent="0.25">
      <c r="B779" s="85" t="s">
        <v>26</v>
      </c>
      <c r="C779" s="225">
        <v>7307</v>
      </c>
      <c r="D779" s="133" t="s">
        <v>377</v>
      </c>
      <c r="E779" s="134"/>
      <c r="F779" s="134"/>
      <c r="G779" s="134"/>
      <c r="H779" s="134"/>
      <c r="I779" s="134"/>
      <c r="J779" s="135"/>
      <c r="K779" s="120" t="s">
        <v>278</v>
      </c>
      <c r="L779" s="90">
        <v>7.0000000000000001E-3</v>
      </c>
      <c r="M779" s="231">
        <v>29.96</v>
      </c>
      <c r="N779" s="233">
        <f t="shared" si="39"/>
        <v>0.21</v>
      </c>
    </row>
    <row r="780" spans="2:14" x14ac:dyDescent="0.25">
      <c r="B780" s="85" t="s">
        <v>15</v>
      </c>
      <c r="C780" s="225">
        <v>88248</v>
      </c>
      <c r="D780" s="133" t="s">
        <v>371</v>
      </c>
      <c r="E780" s="134"/>
      <c r="F780" s="134"/>
      <c r="G780" s="134"/>
      <c r="H780" s="134"/>
      <c r="I780" s="134"/>
      <c r="J780" s="135"/>
      <c r="K780" s="89" t="s">
        <v>17</v>
      </c>
      <c r="L780" s="90">
        <v>0.73599999999999999</v>
      </c>
      <c r="M780" s="232">
        <v>16.989999999999998</v>
      </c>
      <c r="N780" s="233">
        <f t="shared" si="39"/>
        <v>12.5</v>
      </c>
    </row>
    <row r="781" spans="2:14" x14ac:dyDescent="0.25">
      <c r="B781" s="85" t="s">
        <v>15</v>
      </c>
      <c r="C781" s="225">
        <v>88267</v>
      </c>
      <c r="D781" s="133" t="s">
        <v>372</v>
      </c>
      <c r="E781" s="134"/>
      <c r="F781" s="134"/>
      <c r="G781" s="134"/>
      <c r="H781" s="134"/>
      <c r="I781" s="134"/>
      <c r="J781" s="135"/>
      <c r="K781" s="89" t="s">
        <v>17</v>
      </c>
      <c r="L781" s="90">
        <v>0.73599999999999999</v>
      </c>
      <c r="M781" s="231">
        <v>20.7</v>
      </c>
      <c r="N781" s="233">
        <f t="shared" si="39"/>
        <v>15.24</v>
      </c>
    </row>
    <row r="782" spans="2:14" x14ac:dyDescent="0.25">
      <c r="B782" s="96"/>
      <c r="C782" s="97"/>
      <c r="D782" s="37" t="s">
        <v>34</v>
      </c>
      <c r="E782" s="38"/>
      <c r="F782" s="38"/>
      <c r="G782" s="38"/>
      <c r="H782" s="38"/>
      <c r="I782" s="38"/>
      <c r="J782" s="38"/>
      <c r="K782" s="73"/>
      <c r="L782" s="74"/>
      <c r="M782" s="226"/>
      <c r="N782" s="234">
        <f>SUM(N777:N781)</f>
        <v>498.26</v>
      </c>
    </row>
    <row r="783" spans="2:14" x14ac:dyDescent="0.25">
      <c r="B783" s="25"/>
      <c r="C783" s="25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</row>
    <row r="784" spans="2:14" x14ac:dyDescent="0.25">
      <c r="B784" s="74" t="s">
        <v>20</v>
      </c>
      <c r="C784" s="37" t="s">
        <v>3</v>
      </c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73"/>
    </row>
    <row r="785" spans="2:14" x14ac:dyDescent="0.25">
      <c r="B785" s="40">
        <f>[1]ORÇ!B407</f>
        <v>0</v>
      </c>
      <c r="C785" s="41"/>
      <c r="D785" s="42" t="s">
        <v>381</v>
      </c>
      <c r="E785" s="43"/>
      <c r="F785" s="43"/>
      <c r="G785" s="43"/>
      <c r="H785" s="43"/>
      <c r="I785" s="43"/>
      <c r="J785" s="43"/>
      <c r="K785" s="43"/>
      <c r="L785" s="44"/>
      <c r="M785" s="45" t="s">
        <v>5</v>
      </c>
      <c r="N785" s="199" t="s">
        <v>6</v>
      </c>
    </row>
    <row r="786" spans="2:14" x14ac:dyDescent="0.25">
      <c r="B786" s="47" t="s">
        <v>382</v>
      </c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9"/>
    </row>
    <row r="787" spans="2:14" x14ac:dyDescent="0.25">
      <c r="B787" s="84" t="s">
        <v>8</v>
      </c>
      <c r="C787" s="52" t="s">
        <v>9</v>
      </c>
      <c r="D787" s="50"/>
      <c r="E787" s="50"/>
      <c r="F787" s="50"/>
      <c r="G787" s="50" t="s">
        <v>10</v>
      </c>
      <c r="H787" s="50"/>
      <c r="I787" s="50"/>
      <c r="J787" s="51"/>
      <c r="K787" s="52" t="s">
        <v>11</v>
      </c>
      <c r="L787" s="52" t="s">
        <v>12</v>
      </c>
      <c r="M787" s="192" t="s">
        <v>13</v>
      </c>
      <c r="N787" s="45" t="s">
        <v>14</v>
      </c>
    </row>
    <row r="788" spans="2:14" x14ac:dyDescent="0.25">
      <c r="B788" s="85" t="s">
        <v>26</v>
      </c>
      <c r="C788" s="225">
        <v>6314</v>
      </c>
      <c r="D788" s="133" t="s">
        <v>383</v>
      </c>
      <c r="E788" s="134"/>
      <c r="F788" s="134"/>
      <c r="G788" s="134"/>
      <c r="H788" s="134"/>
      <c r="I788" s="134"/>
      <c r="J788" s="135"/>
      <c r="K788" s="120" t="s">
        <v>358</v>
      </c>
      <c r="L788" s="93">
        <v>1</v>
      </c>
      <c r="M788" s="231">
        <v>218.03</v>
      </c>
      <c r="N788" s="233">
        <f t="shared" ref="N788:N792" si="40">ROUND(M788*L788,2)</f>
        <v>218.03</v>
      </c>
    </row>
    <row r="789" spans="2:14" x14ac:dyDescent="0.25">
      <c r="B789" s="85" t="s">
        <v>26</v>
      </c>
      <c r="C789" s="225">
        <v>3148</v>
      </c>
      <c r="D789" s="133" t="s">
        <v>376</v>
      </c>
      <c r="E789" s="134"/>
      <c r="F789" s="134"/>
      <c r="G789" s="134"/>
      <c r="H789" s="134"/>
      <c r="I789" s="134"/>
      <c r="J789" s="135"/>
      <c r="K789" s="120" t="s">
        <v>358</v>
      </c>
      <c r="L789" s="90">
        <v>0.03</v>
      </c>
      <c r="M789" s="231">
        <v>13.27</v>
      </c>
      <c r="N789" s="233">
        <f t="shared" si="40"/>
        <v>0.4</v>
      </c>
    </row>
    <row r="790" spans="2:14" x14ac:dyDescent="0.25">
      <c r="B790" s="85" t="s">
        <v>26</v>
      </c>
      <c r="C790" s="225">
        <v>7307</v>
      </c>
      <c r="D790" s="133" t="s">
        <v>377</v>
      </c>
      <c r="E790" s="134"/>
      <c r="F790" s="134"/>
      <c r="G790" s="134"/>
      <c r="H790" s="134"/>
      <c r="I790" s="134"/>
      <c r="J790" s="135"/>
      <c r="K790" s="120" t="s">
        <v>278</v>
      </c>
      <c r="L790" s="90">
        <v>7.0000000000000001E-3</v>
      </c>
      <c r="M790" s="231">
        <v>29.96</v>
      </c>
      <c r="N790" s="233">
        <f t="shared" si="40"/>
        <v>0.21</v>
      </c>
    </row>
    <row r="791" spans="2:14" x14ac:dyDescent="0.25">
      <c r="B791" s="85" t="s">
        <v>15</v>
      </c>
      <c r="C791" s="225">
        <v>88248</v>
      </c>
      <c r="D791" s="133" t="s">
        <v>371</v>
      </c>
      <c r="E791" s="134"/>
      <c r="F791" s="134"/>
      <c r="G791" s="134"/>
      <c r="H791" s="134"/>
      <c r="I791" s="134"/>
      <c r="J791" s="135"/>
      <c r="K791" s="89" t="s">
        <v>17</v>
      </c>
      <c r="L791" s="90">
        <v>0.73599999999999999</v>
      </c>
      <c r="M791" s="232">
        <v>16.989999999999998</v>
      </c>
      <c r="N791" s="233">
        <f t="shared" si="40"/>
        <v>12.5</v>
      </c>
    </row>
    <row r="792" spans="2:14" x14ac:dyDescent="0.25">
      <c r="B792" s="85" t="s">
        <v>15</v>
      </c>
      <c r="C792" s="225">
        <v>88267</v>
      </c>
      <c r="D792" s="133" t="s">
        <v>372</v>
      </c>
      <c r="E792" s="134"/>
      <c r="F792" s="134"/>
      <c r="G792" s="134"/>
      <c r="H792" s="134"/>
      <c r="I792" s="134"/>
      <c r="J792" s="135"/>
      <c r="K792" s="89" t="s">
        <v>17</v>
      </c>
      <c r="L792" s="90">
        <v>0.73599999999999999</v>
      </c>
      <c r="M792" s="231">
        <v>20.7</v>
      </c>
      <c r="N792" s="233">
        <f t="shared" si="40"/>
        <v>15.24</v>
      </c>
    </row>
    <row r="793" spans="2:14" x14ac:dyDescent="0.25">
      <c r="B793" s="96"/>
      <c r="C793" s="97"/>
      <c r="D793" s="37" t="s">
        <v>34</v>
      </c>
      <c r="E793" s="38"/>
      <c r="F793" s="38"/>
      <c r="G793" s="38"/>
      <c r="H793" s="38"/>
      <c r="I793" s="38"/>
      <c r="J793" s="38"/>
      <c r="K793" s="73"/>
      <c r="L793" s="74"/>
      <c r="M793" s="226"/>
      <c r="N793" s="234">
        <f>SUM(N788:N792)</f>
        <v>246.38000000000002</v>
      </c>
    </row>
    <row r="794" spans="2:14" x14ac:dyDescent="0.25">
      <c r="B794" s="25"/>
      <c r="C794" s="25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</row>
    <row r="795" spans="2:14" x14ac:dyDescent="0.25">
      <c r="B795" s="83" t="s">
        <v>20</v>
      </c>
      <c r="C795" s="37" t="s">
        <v>3</v>
      </c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73"/>
    </row>
    <row r="796" spans="2:14" x14ac:dyDescent="0.25">
      <c r="B796" s="40">
        <f>[1]ORÇ!B444</f>
        <v>0</v>
      </c>
      <c r="C796" s="41"/>
      <c r="D796" s="42" t="s">
        <v>384</v>
      </c>
      <c r="E796" s="43"/>
      <c r="F796" s="43"/>
      <c r="G796" s="43"/>
      <c r="H796" s="43"/>
      <c r="I796" s="43"/>
      <c r="J796" s="43"/>
      <c r="K796" s="43"/>
      <c r="L796" s="44"/>
      <c r="M796" s="45" t="s">
        <v>5</v>
      </c>
      <c r="N796" s="199" t="s">
        <v>22</v>
      </c>
    </row>
    <row r="797" spans="2:14" x14ac:dyDescent="0.25">
      <c r="B797" s="47" t="s">
        <v>385</v>
      </c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9"/>
    </row>
    <row r="798" spans="2:14" x14ac:dyDescent="0.25">
      <c r="B798" s="52" t="s">
        <v>8</v>
      </c>
      <c r="C798" s="52" t="s">
        <v>9</v>
      </c>
      <c r="D798" s="122" t="s">
        <v>10</v>
      </c>
      <c r="E798" s="123"/>
      <c r="F798" s="123"/>
      <c r="G798" s="123"/>
      <c r="H798" s="123"/>
      <c r="I798" s="123"/>
      <c r="J798" s="124"/>
      <c r="K798" s="52" t="s">
        <v>11</v>
      </c>
      <c r="L798" s="52" t="s">
        <v>12</v>
      </c>
      <c r="M798" s="192" t="s">
        <v>13</v>
      </c>
      <c r="N798" s="45" t="s">
        <v>14</v>
      </c>
    </row>
    <row r="799" spans="2:14" x14ac:dyDescent="0.25">
      <c r="B799" s="59" t="s">
        <v>26</v>
      </c>
      <c r="C799" s="59">
        <v>4948</v>
      </c>
      <c r="D799" s="200" t="s">
        <v>386</v>
      </c>
      <c r="E799" s="201"/>
      <c r="F799" s="201"/>
      <c r="G799" s="201"/>
      <c r="H799" s="201"/>
      <c r="I799" s="201"/>
      <c r="J799" s="202"/>
      <c r="K799" s="59" t="s">
        <v>28</v>
      </c>
      <c r="L799" s="125">
        <v>1</v>
      </c>
      <c r="M799" s="203">
        <v>540.16999999999996</v>
      </c>
      <c r="N799" s="168">
        <f t="shared" ref="N799:N803" si="41">ROUND(M799*L799,2)</f>
        <v>540.16999999999996</v>
      </c>
    </row>
    <row r="800" spans="2:14" x14ac:dyDescent="0.25">
      <c r="B800" s="59" t="s">
        <v>15</v>
      </c>
      <c r="C800" s="59">
        <v>88309</v>
      </c>
      <c r="D800" s="200" t="s">
        <v>32</v>
      </c>
      <c r="E800" s="201"/>
      <c r="F800" s="201"/>
      <c r="G800" s="201"/>
      <c r="H800" s="201"/>
      <c r="I800" s="201"/>
      <c r="J800" s="202"/>
      <c r="K800" s="59" t="s">
        <v>17</v>
      </c>
      <c r="L800" s="125">
        <v>1</v>
      </c>
      <c r="M800" s="203">
        <v>21.31</v>
      </c>
      <c r="N800" s="168">
        <f t="shared" si="41"/>
        <v>21.31</v>
      </c>
    </row>
    <row r="801" spans="2:16" x14ac:dyDescent="0.25">
      <c r="B801" s="86" t="s">
        <v>15</v>
      </c>
      <c r="C801" s="59">
        <v>88316</v>
      </c>
      <c r="D801" s="235" t="s">
        <v>33</v>
      </c>
      <c r="E801" s="236"/>
      <c r="F801" s="236"/>
      <c r="G801" s="236"/>
      <c r="H801" s="236"/>
      <c r="I801" s="236"/>
      <c r="J801" s="237"/>
      <c r="K801" s="120" t="s">
        <v>17</v>
      </c>
      <c r="L801" s="125">
        <v>1.5</v>
      </c>
      <c r="M801" s="238">
        <v>17.09</v>
      </c>
      <c r="N801" s="168">
        <f t="shared" si="41"/>
        <v>25.64</v>
      </c>
    </row>
    <row r="802" spans="2:16" x14ac:dyDescent="0.25">
      <c r="B802" s="86" t="s">
        <v>15</v>
      </c>
      <c r="C802" s="59">
        <v>100722</v>
      </c>
      <c r="D802" s="108" t="s">
        <v>307</v>
      </c>
      <c r="E802" s="108"/>
      <c r="F802" s="108"/>
      <c r="G802" s="108"/>
      <c r="H802" s="108"/>
      <c r="I802" s="108"/>
      <c r="J802" s="108"/>
      <c r="K802" s="128" t="s">
        <v>28</v>
      </c>
      <c r="L802" s="125">
        <f>L799</f>
        <v>1</v>
      </c>
      <c r="M802" s="238">
        <v>18.649999999999999</v>
      </c>
      <c r="N802" s="168">
        <f t="shared" si="41"/>
        <v>18.649999999999999</v>
      </c>
    </row>
    <row r="803" spans="2:16" x14ac:dyDescent="0.25">
      <c r="B803" s="54" t="s">
        <v>15</v>
      </c>
      <c r="C803" s="59">
        <v>100758</v>
      </c>
      <c r="D803" s="108" t="s">
        <v>62</v>
      </c>
      <c r="E803" s="108"/>
      <c r="F803" s="108"/>
      <c r="G803" s="108"/>
      <c r="H803" s="108"/>
      <c r="I803" s="108"/>
      <c r="J803" s="108"/>
      <c r="K803" s="128" t="s">
        <v>28</v>
      </c>
      <c r="L803" s="109">
        <f>L799</f>
        <v>1</v>
      </c>
      <c r="M803" s="61">
        <v>38.119999999999997</v>
      </c>
      <c r="N803" s="62">
        <f t="shared" si="41"/>
        <v>38.119999999999997</v>
      </c>
    </row>
    <row r="804" spans="2:16" x14ac:dyDescent="0.25">
      <c r="B804" s="196"/>
      <c r="C804" s="197"/>
      <c r="D804" s="37" t="s">
        <v>34</v>
      </c>
      <c r="E804" s="38"/>
      <c r="F804" s="38"/>
      <c r="G804" s="38"/>
      <c r="H804" s="38"/>
      <c r="I804" s="38"/>
      <c r="J804" s="38"/>
      <c r="K804" s="73"/>
      <c r="L804" s="74"/>
      <c r="M804" s="198"/>
      <c r="N804" s="105">
        <f>SUM(N799:N803)</f>
        <v>643.88999999999987</v>
      </c>
    </row>
    <row r="805" spans="2:16" x14ac:dyDescent="0.25">
      <c r="B805" s="25"/>
      <c r="C805" s="25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</row>
    <row r="806" spans="2:16" x14ac:dyDescent="0.25">
      <c r="B806" s="83" t="s">
        <v>20</v>
      </c>
      <c r="C806" s="37" t="s">
        <v>3</v>
      </c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73"/>
    </row>
    <row r="807" spans="2:16" x14ac:dyDescent="0.25">
      <c r="B807" s="40" t="str">
        <f>[1]ORÇ!B482</f>
        <v>COMPOSIÇÃO 80</v>
      </c>
      <c r="C807" s="41"/>
      <c r="D807" s="42" t="s">
        <v>387</v>
      </c>
      <c r="E807" s="43"/>
      <c r="F807" s="43"/>
      <c r="G807" s="43"/>
      <c r="H807" s="43"/>
      <c r="I807" s="43"/>
      <c r="J807" s="43"/>
      <c r="K807" s="43"/>
      <c r="L807" s="44"/>
      <c r="M807" s="45" t="s">
        <v>5</v>
      </c>
      <c r="N807" s="199" t="s">
        <v>6</v>
      </c>
    </row>
    <row r="808" spans="2:16" x14ac:dyDescent="0.25">
      <c r="B808" s="47" t="s">
        <v>388</v>
      </c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9"/>
    </row>
    <row r="809" spans="2:16" x14ac:dyDescent="0.25">
      <c r="B809" s="84" t="s">
        <v>8</v>
      </c>
      <c r="C809" s="52" t="s">
        <v>9</v>
      </c>
      <c r="D809" s="50"/>
      <c r="E809" s="50"/>
      <c r="F809" s="50"/>
      <c r="G809" s="50" t="s">
        <v>10</v>
      </c>
      <c r="H809" s="50"/>
      <c r="I809" s="50"/>
      <c r="J809" s="26"/>
      <c r="K809" s="52" t="s">
        <v>11</v>
      </c>
      <c r="L809" s="52" t="s">
        <v>12</v>
      </c>
      <c r="M809" s="192" t="s">
        <v>13</v>
      </c>
      <c r="N809" s="45" t="s">
        <v>14</v>
      </c>
    </row>
    <row r="810" spans="2:16" x14ac:dyDescent="0.25">
      <c r="B810" s="85" t="s">
        <v>26</v>
      </c>
      <c r="C810" s="59">
        <v>40535</v>
      </c>
      <c r="D810" s="42" t="s">
        <v>294</v>
      </c>
      <c r="E810" s="43"/>
      <c r="F810" s="43"/>
      <c r="G810" s="43"/>
      <c r="H810" s="43"/>
      <c r="I810" s="43"/>
      <c r="J810" s="44"/>
      <c r="K810" s="120" t="s">
        <v>31</v>
      </c>
      <c r="L810" s="125">
        <f>R812</f>
        <v>0</v>
      </c>
      <c r="M810" s="61">
        <v>11.69</v>
      </c>
      <c r="N810" s="168">
        <f>ROUND(M810*L810,2)</f>
        <v>0</v>
      </c>
    </row>
    <row r="811" spans="2:16" x14ac:dyDescent="0.25">
      <c r="B811" s="85" t="s">
        <v>26</v>
      </c>
      <c r="C811" s="59">
        <v>3992</v>
      </c>
      <c r="D811" s="133" t="s">
        <v>296</v>
      </c>
      <c r="E811" s="134"/>
      <c r="F811" s="134"/>
      <c r="G811" s="134"/>
      <c r="H811" s="134"/>
      <c r="I811" s="134"/>
      <c r="J811" s="135"/>
      <c r="K811" s="120" t="s">
        <v>48</v>
      </c>
      <c r="L811" s="125">
        <f>(4.2+4.15)*19</f>
        <v>158.65000000000003</v>
      </c>
      <c r="M811" s="61">
        <v>24.85</v>
      </c>
      <c r="N811" s="168">
        <f>ROUND(M811*L811,2)</f>
        <v>3942.45</v>
      </c>
      <c r="P811" s="98" t="s">
        <v>297</v>
      </c>
    </row>
    <row r="812" spans="2:16" x14ac:dyDescent="0.25">
      <c r="B812" s="85" t="s">
        <v>26</v>
      </c>
      <c r="C812" s="59">
        <v>39424</v>
      </c>
      <c r="D812" s="42" t="s">
        <v>298</v>
      </c>
      <c r="E812" s="43"/>
      <c r="F812" s="43"/>
      <c r="G812" s="43"/>
      <c r="H812" s="43"/>
      <c r="I812" s="43"/>
      <c r="J812" s="44"/>
      <c r="K812" s="120" t="s">
        <v>48</v>
      </c>
      <c r="L812" s="125">
        <f>L811</f>
        <v>158.65000000000003</v>
      </c>
      <c r="M812" s="61">
        <v>4.2300000000000004</v>
      </c>
      <c r="N812" s="168">
        <f>ROUND(M812*L812,2)</f>
        <v>671.09</v>
      </c>
      <c r="P812" s="98">
        <f>(0.5*12)+4.2+4.15+6.26</f>
        <v>20.61</v>
      </c>
    </row>
    <row r="813" spans="2:16" x14ac:dyDescent="0.25">
      <c r="B813" s="85" t="s">
        <v>26</v>
      </c>
      <c r="C813" s="59">
        <v>1319</v>
      </c>
      <c r="D813" s="133" t="s">
        <v>300</v>
      </c>
      <c r="E813" s="134"/>
      <c r="F813" s="134"/>
      <c r="G813" s="134"/>
      <c r="H813" s="134"/>
      <c r="I813" s="134"/>
      <c r="J813" s="135"/>
      <c r="K813" s="120" t="s">
        <v>31</v>
      </c>
      <c r="L813" s="125">
        <f>R815</f>
        <v>0</v>
      </c>
      <c r="M813" s="61">
        <v>9.42</v>
      </c>
      <c r="N813" s="168">
        <f t="shared" ref="N813:N820" si="42">ROUND(M813*L813,2)</f>
        <v>0</v>
      </c>
      <c r="P813" s="98"/>
    </row>
    <row r="814" spans="2:16" x14ac:dyDescent="0.25">
      <c r="B814" s="85" t="s">
        <v>15</v>
      </c>
      <c r="C814" s="59">
        <v>90283</v>
      </c>
      <c r="D814" s="133" t="s">
        <v>301</v>
      </c>
      <c r="E814" s="134"/>
      <c r="F814" s="134"/>
      <c r="G814" s="134"/>
      <c r="H814" s="134"/>
      <c r="I814" s="134"/>
      <c r="J814" s="135"/>
      <c r="K814" s="120" t="s">
        <v>25</v>
      </c>
      <c r="L814" s="214">
        <f>(6*4)*(0.15*0.45*0.15)</f>
        <v>0.24299999999999999</v>
      </c>
      <c r="M814" s="61">
        <v>623.27</v>
      </c>
      <c r="N814" s="168">
        <f t="shared" si="42"/>
        <v>151.44999999999999</v>
      </c>
      <c r="P814" s="98" t="s">
        <v>303</v>
      </c>
    </row>
    <row r="815" spans="2:16" x14ac:dyDescent="0.25">
      <c r="B815" s="106" t="s">
        <v>26</v>
      </c>
      <c r="C815" s="107">
        <v>11975</v>
      </c>
      <c r="D815" s="133" t="s">
        <v>304</v>
      </c>
      <c r="E815" s="134"/>
      <c r="F815" s="134"/>
      <c r="G815" s="134"/>
      <c r="H815" s="134"/>
      <c r="I815" s="134"/>
      <c r="J815" s="135"/>
      <c r="K815" s="128" t="s">
        <v>75</v>
      </c>
      <c r="L815" s="109">
        <f>6*4</f>
        <v>24</v>
      </c>
      <c r="M815" s="61">
        <v>25.41</v>
      </c>
      <c r="N815" s="168">
        <f t="shared" si="42"/>
        <v>609.84</v>
      </c>
      <c r="P815">
        <f>(0.13*0.25)*(6*4)</f>
        <v>0.78</v>
      </c>
    </row>
    <row r="816" spans="2:16" x14ac:dyDescent="0.25">
      <c r="B816" s="55" t="s">
        <v>15</v>
      </c>
      <c r="C816" s="107">
        <v>100722</v>
      </c>
      <c r="D816" s="133" t="s">
        <v>307</v>
      </c>
      <c r="E816" s="134"/>
      <c r="F816" s="134"/>
      <c r="G816" s="134"/>
      <c r="H816" s="134"/>
      <c r="I816" s="134"/>
      <c r="J816" s="135"/>
      <c r="K816" s="110" t="s">
        <v>28</v>
      </c>
      <c r="L816" s="239">
        <f>R819</f>
        <v>0</v>
      </c>
      <c r="M816" s="61">
        <v>18.649999999999999</v>
      </c>
      <c r="N816" s="168">
        <f t="shared" si="42"/>
        <v>0</v>
      </c>
    </row>
    <row r="817" spans="2:16" x14ac:dyDescent="0.25">
      <c r="B817" s="55" t="s">
        <v>15</v>
      </c>
      <c r="C817" s="107">
        <v>102234</v>
      </c>
      <c r="D817" s="133" t="s">
        <v>306</v>
      </c>
      <c r="E817" s="134"/>
      <c r="F817" s="134"/>
      <c r="G817" s="134"/>
      <c r="H817" s="134"/>
      <c r="I817" s="134"/>
      <c r="J817" s="135"/>
      <c r="K817" s="110" t="s">
        <v>263</v>
      </c>
      <c r="L817" s="111">
        <f>(L811*0.3)*2</f>
        <v>95.190000000000012</v>
      </c>
      <c r="M817" s="61">
        <v>18.28</v>
      </c>
      <c r="N817" s="168">
        <f t="shared" si="42"/>
        <v>1740.07</v>
      </c>
      <c r="P817" s="98"/>
    </row>
    <row r="818" spans="2:16" x14ac:dyDescent="0.25">
      <c r="B818" s="55" t="s">
        <v>15</v>
      </c>
      <c r="C818" s="107">
        <v>102213</v>
      </c>
      <c r="D818" s="133" t="s">
        <v>308</v>
      </c>
      <c r="E818" s="134"/>
      <c r="F818" s="134"/>
      <c r="G818" s="134"/>
      <c r="H818" s="134"/>
      <c r="I818" s="134"/>
      <c r="J818" s="135"/>
      <c r="K818" s="110" t="s">
        <v>28</v>
      </c>
      <c r="L818" s="111">
        <f>L811*0.3*2</f>
        <v>95.190000000000012</v>
      </c>
      <c r="M818" s="61">
        <v>16.3</v>
      </c>
      <c r="N818" s="168">
        <f t="shared" si="42"/>
        <v>1551.6</v>
      </c>
      <c r="P818" s="98" t="s">
        <v>309</v>
      </c>
    </row>
    <row r="819" spans="2:16" x14ac:dyDescent="0.25">
      <c r="B819" s="55" t="s">
        <v>96</v>
      </c>
      <c r="C819" s="107">
        <v>280003</v>
      </c>
      <c r="D819" s="215" t="s">
        <v>389</v>
      </c>
      <c r="E819" s="216"/>
      <c r="F819" s="216"/>
      <c r="G819" s="216"/>
      <c r="H819" s="216"/>
      <c r="I819" s="216"/>
      <c r="J819" s="217"/>
      <c r="K819" s="110" t="s">
        <v>17</v>
      </c>
      <c r="L819" s="125">
        <f>5*3*8</f>
        <v>120</v>
      </c>
      <c r="M819" s="61">
        <v>16.05</v>
      </c>
      <c r="N819" s="168">
        <f t="shared" si="42"/>
        <v>1926</v>
      </c>
      <c r="P819" s="98">
        <f>(0.075*2)</f>
        <v>0.15</v>
      </c>
    </row>
    <row r="820" spans="2:16" x14ac:dyDescent="0.25">
      <c r="B820" s="55" t="s">
        <v>15</v>
      </c>
      <c r="C820" s="107">
        <v>88278</v>
      </c>
      <c r="D820" s="133" t="s">
        <v>311</v>
      </c>
      <c r="E820" s="134"/>
      <c r="F820" s="134"/>
      <c r="G820" s="134"/>
      <c r="H820" s="134"/>
      <c r="I820" s="134"/>
      <c r="J820" s="135"/>
      <c r="K820" s="120" t="s">
        <v>17</v>
      </c>
      <c r="L820" s="125">
        <f>5*3*8</f>
        <v>120</v>
      </c>
      <c r="M820" s="61">
        <v>17.73</v>
      </c>
      <c r="N820" s="168">
        <f t="shared" si="42"/>
        <v>2127.6</v>
      </c>
    </row>
    <row r="821" spans="2:16" x14ac:dyDescent="0.25">
      <c r="B821" s="196"/>
      <c r="C821" s="197"/>
      <c r="D821" s="37" t="s">
        <v>34</v>
      </c>
      <c r="E821" s="38"/>
      <c r="F821" s="38"/>
      <c r="G821" s="38"/>
      <c r="H821" s="38"/>
      <c r="I821" s="38"/>
      <c r="J821" s="38"/>
      <c r="K821" s="73"/>
      <c r="L821" s="74"/>
      <c r="M821" s="198"/>
      <c r="N821" s="105">
        <f>SUM(N810:N820)</f>
        <v>12720.1</v>
      </c>
      <c r="P821" s="218">
        <f>15*8</f>
        <v>120</v>
      </c>
    </row>
    <row r="822" spans="2:16" x14ac:dyDescent="0.25">
      <c r="B822" s="25"/>
      <c r="C822" s="25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</row>
    <row r="823" spans="2:16" x14ac:dyDescent="0.25">
      <c r="B823" s="83" t="s">
        <v>20</v>
      </c>
      <c r="C823" s="37" t="s">
        <v>3</v>
      </c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73"/>
    </row>
    <row r="824" spans="2:16" x14ac:dyDescent="0.25">
      <c r="B824" s="40">
        <f>[1]ORÇ!B483</f>
        <v>0</v>
      </c>
      <c r="C824" s="41"/>
      <c r="D824" s="42" t="s">
        <v>390</v>
      </c>
      <c r="E824" s="43"/>
      <c r="F824" s="43"/>
      <c r="G824" s="43"/>
      <c r="H824" s="43"/>
      <c r="I824" s="43"/>
      <c r="J824" s="43"/>
      <c r="K824" s="43"/>
      <c r="L824" s="44"/>
      <c r="M824" s="45" t="s">
        <v>5</v>
      </c>
      <c r="N824" s="199" t="s">
        <v>263</v>
      </c>
    </row>
    <row r="825" spans="2:16" x14ac:dyDescent="0.25">
      <c r="B825" s="47" t="s">
        <v>391</v>
      </c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9"/>
    </row>
    <row r="826" spans="2:16" x14ac:dyDescent="0.25">
      <c r="B826" s="84" t="s">
        <v>8</v>
      </c>
      <c r="C826" s="52" t="s">
        <v>9</v>
      </c>
      <c r="D826" s="50"/>
      <c r="E826" s="50"/>
      <c r="F826" s="50"/>
      <c r="G826" s="50" t="s">
        <v>10</v>
      </c>
      <c r="H826" s="50"/>
      <c r="I826" s="50"/>
      <c r="J826" s="26"/>
      <c r="K826" s="52" t="s">
        <v>11</v>
      </c>
      <c r="L826" s="52" t="s">
        <v>12</v>
      </c>
      <c r="M826" s="192" t="s">
        <v>13</v>
      </c>
      <c r="N826" s="45" t="s">
        <v>14</v>
      </c>
    </row>
    <row r="827" spans="2:16" x14ac:dyDescent="0.25">
      <c r="B827" s="85" t="s">
        <v>26</v>
      </c>
      <c r="C827" s="59">
        <v>20206</v>
      </c>
      <c r="D827" s="42" t="s">
        <v>392</v>
      </c>
      <c r="E827" s="43"/>
      <c r="F827" s="43"/>
      <c r="G827" s="43"/>
      <c r="H827" s="43"/>
      <c r="I827" s="43"/>
      <c r="J827" s="44"/>
      <c r="K827" s="120" t="s">
        <v>50</v>
      </c>
      <c r="L827" s="125">
        <f>((20*2.5)+(2*2.4))/6</f>
        <v>9.1333333333333329</v>
      </c>
      <c r="M827" s="61">
        <v>7.36</v>
      </c>
      <c r="N827" s="168">
        <f>ROUND(M827*L827,2)</f>
        <v>67.22</v>
      </c>
    </row>
    <row r="828" spans="2:16" x14ac:dyDescent="0.25">
      <c r="B828" s="85" t="s">
        <v>26</v>
      </c>
      <c r="C828" s="59">
        <v>5067</v>
      </c>
      <c r="D828" s="42" t="s">
        <v>393</v>
      </c>
      <c r="E828" s="43"/>
      <c r="F828" s="43"/>
      <c r="G828" s="43"/>
      <c r="H828" s="43"/>
      <c r="I828" s="43"/>
      <c r="J828" s="44"/>
      <c r="K828" s="120" t="s">
        <v>31</v>
      </c>
      <c r="L828" s="214">
        <f>40/O828</f>
        <v>0.13793103448275862</v>
      </c>
      <c r="M828" s="61">
        <v>23.02</v>
      </c>
      <c r="N828" s="168">
        <f t="shared" ref="N828:N829" si="43">ROUND(M828*L828,2)</f>
        <v>3.18</v>
      </c>
      <c r="O828">
        <v>290</v>
      </c>
      <c r="P828" s="98" t="s">
        <v>394</v>
      </c>
    </row>
    <row r="829" spans="2:16" x14ac:dyDescent="0.25">
      <c r="B829" s="85" t="s">
        <v>26</v>
      </c>
      <c r="C829" s="59">
        <v>11964</v>
      </c>
      <c r="D829" s="133" t="s">
        <v>395</v>
      </c>
      <c r="E829" s="134"/>
      <c r="F829" s="134"/>
      <c r="G829" s="134"/>
      <c r="H829" s="134"/>
      <c r="I829" s="134"/>
      <c r="J829" s="135"/>
      <c r="K829" s="120" t="s">
        <v>75</v>
      </c>
      <c r="L829" s="125">
        <f>(3+3)/6</f>
        <v>1</v>
      </c>
      <c r="M829" s="61">
        <v>2.58</v>
      </c>
      <c r="N829" s="168">
        <f t="shared" si="43"/>
        <v>2.58</v>
      </c>
    </row>
    <row r="830" spans="2:16" x14ac:dyDescent="0.25">
      <c r="B830" s="85" t="s">
        <v>15</v>
      </c>
      <c r="C830" s="59">
        <v>90282</v>
      </c>
      <c r="D830" s="42" t="s">
        <v>396</v>
      </c>
      <c r="E830" s="43"/>
      <c r="F830" s="43"/>
      <c r="G830" s="43"/>
      <c r="H830" s="43"/>
      <c r="I830" s="43"/>
      <c r="J830" s="44"/>
      <c r="K830" s="120" t="s">
        <v>25</v>
      </c>
      <c r="L830" s="214">
        <f>(0.15*0.1)*0.045</f>
        <v>6.7499999999999993E-4</v>
      </c>
      <c r="M830" s="61">
        <v>556.07000000000005</v>
      </c>
      <c r="N830" s="168">
        <f>ROUND(M830*L830,2)</f>
        <v>0.38</v>
      </c>
    </row>
    <row r="831" spans="2:16" x14ac:dyDescent="0.25">
      <c r="B831" s="85" t="s">
        <v>15</v>
      </c>
      <c r="C831" s="59">
        <v>102234</v>
      </c>
      <c r="D831" s="240" t="s">
        <v>306</v>
      </c>
      <c r="E831" s="241"/>
      <c r="F831" s="241"/>
      <c r="G831" s="241"/>
      <c r="H831" s="241"/>
      <c r="I831" s="241"/>
      <c r="J831" s="242"/>
      <c r="K831" s="120" t="s">
        <v>28</v>
      </c>
      <c r="L831" s="125">
        <f>ROUND((0.03+0.07+0.07+0.03)*L827,2)</f>
        <v>1.83</v>
      </c>
      <c r="M831" s="243">
        <v>18.28</v>
      </c>
      <c r="N831" s="168">
        <f>ROUND(M831*L831,2)</f>
        <v>33.450000000000003</v>
      </c>
    </row>
    <row r="832" spans="2:16" x14ac:dyDescent="0.25">
      <c r="B832" s="85" t="s">
        <v>15</v>
      </c>
      <c r="C832" s="59">
        <v>102215</v>
      </c>
      <c r="D832" s="42" t="s">
        <v>397</v>
      </c>
      <c r="E832" s="43"/>
      <c r="F832" s="43"/>
      <c r="G832" s="43"/>
      <c r="H832" s="43"/>
      <c r="I832" s="43"/>
      <c r="J832" s="44"/>
      <c r="K832" s="120" t="s">
        <v>28</v>
      </c>
      <c r="L832" s="125">
        <f>L831</f>
        <v>1.83</v>
      </c>
      <c r="M832" s="243">
        <v>15.15</v>
      </c>
      <c r="N832" s="168">
        <f>ROUND(M832*L832,2)</f>
        <v>27.72</v>
      </c>
    </row>
    <row r="833" spans="2:16" x14ac:dyDescent="0.25">
      <c r="B833" s="196"/>
      <c r="C833" s="197"/>
      <c r="D833" s="37" t="s">
        <v>34</v>
      </c>
      <c r="E833" s="38"/>
      <c r="F833" s="38"/>
      <c r="G833" s="38"/>
      <c r="H833" s="38"/>
      <c r="I833" s="38"/>
      <c r="J833" s="38"/>
      <c r="K833" s="73"/>
      <c r="L833" s="74"/>
      <c r="M833" s="198"/>
      <c r="N833" s="105">
        <f>SUM(N827:N832)</f>
        <v>134.53</v>
      </c>
    </row>
    <row r="834" spans="2:16" x14ac:dyDescent="0.25">
      <c r="B834" s="25"/>
      <c r="C834" s="25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</row>
    <row r="835" spans="2:16" x14ac:dyDescent="0.25">
      <c r="B835" s="83" t="s">
        <v>20</v>
      </c>
      <c r="C835" s="37" t="s">
        <v>3</v>
      </c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73"/>
    </row>
    <row r="836" spans="2:16" x14ac:dyDescent="0.25">
      <c r="B836" s="40">
        <f>[1]ORÇ!B484</f>
        <v>0</v>
      </c>
      <c r="C836" s="41"/>
      <c r="D836" s="42" t="s">
        <v>398</v>
      </c>
      <c r="E836" s="43"/>
      <c r="F836" s="43"/>
      <c r="G836" s="43"/>
      <c r="H836" s="43"/>
      <c r="I836" s="43"/>
      <c r="J836" s="43"/>
      <c r="K836" s="43"/>
      <c r="L836" s="44"/>
      <c r="M836" s="45" t="s">
        <v>5</v>
      </c>
      <c r="N836" s="199" t="s">
        <v>6</v>
      </c>
    </row>
    <row r="837" spans="2:16" x14ac:dyDescent="0.25">
      <c r="B837" s="47" t="s">
        <v>399</v>
      </c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9"/>
    </row>
    <row r="838" spans="2:16" x14ac:dyDescent="0.25">
      <c r="B838" s="84" t="s">
        <v>8</v>
      </c>
      <c r="C838" s="52" t="s">
        <v>9</v>
      </c>
      <c r="D838" s="50"/>
      <c r="E838" s="50"/>
      <c r="F838" s="50"/>
      <c r="G838" s="50" t="s">
        <v>10</v>
      </c>
      <c r="H838" s="50"/>
      <c r="I838" s="50"/>
      <c r="J838" s="26"/>
      <c r="K838" s="52" t="s">
        <v>11</v>
      </c>
      <c r="L838" s="52" t="s">
        <v>12</v>
      </c>
      <c r="M838" s="192" t="s">
        <v>13</v>
      </c>
      <c r="N838" s="45" t="s">
        <v>14</v>
      </c>
    </row>
    <row r="839" spans="2:16" x14ac:dyDescent="0.25">
      <c r="B839" s="85" t="s">
        <v>96</v>
      </c>
      <c r="C839" s="59">
        <v>61458</v>
      </c>
      <c r="D839" s="240" t="s">
        <v>400</v>
      </c>
      <c r="E839" s="241"/>
      <c r="F839" s="241"/>
      <c r="G839" s="241"/>
      <c r="H839" s="241"/>
      <c r="I839" s="241"/>
      <c r="J839" s="242"/>
      <c r="K839" s="120" t="s">
        <v>28</v>
      </c>
      <c r="L839" s="214">
        <f>(0.5+0.3+0.5)*2.9</f>
        <v>3.77</v>
      </c>
      <c r="M839" s="61">
        <v>471</v>
      </c>
      <c r="N839" s="168">
        <f>ROUND(M839*L839,2)</f>
        <v>1775.67</v>
      </c>
      <c r="P839" s="209">
        <f>50*M839</f>
        <v>23550</v>
      </c>
    </row>
    <row r="840" spans="2:16" x14ac:dyDescent="0.25">
      <c r="B840" s="196"/>
      <c r="C840" s="197"/>
      <c r="D840" s="37" t="s">
        <v>34</v>
      </c>
      <c r="E840" s="38"/>
      <c r="F840" s="38"/>
      <c r="G840" s="38"/>
      <c r="H840" s="38"/>
      <c r="I840" s="38"/>
      <c r="J840" s="38"/>
      <c r="K840" s="73"/>
      <c r="L840" s="74"/>
      <c r="M840" s="198"/>
      <c r="N840" s="105">
        <f>SUM(N839:N839)</f>
        <v>1775.67</v>
      </c>
    </row>
    <row r="841" spans="2:16" x14ac:dyDescent="0.25">
      <c r="B841" s="244"/>
      <c r="C841" s="245"/>
      <c r="D841" s="246"/>
      <c r="E841" s="246"/>
      <c r="F841" s="246"/>
      <c r="G841" s="246"/>
      <c r="H841" s="246"/>
      <c r="I841" s="246"/>
      <c r="J841" s="246"/>
      <c r="K841" s="246"/>
      <c r="L841" s="246"/>
      <c r="M841" s="247"/>
      <c r="N841" s="248"/>
    </row>
    <row r="842" spans="2:16" x14ac:dyDescent="0.25">
      <c r="B842" s="83" t="s">
        <v>20</v>
      </c>
      <c r="C842" s="74"/>
      <c r="D842" s="249"/>
      <c r="E842" s="249"/>
      <c r="F842" s="249"/>
      <c r="G842" s="249"/>
      <c r="H842" s="249" t="s">
        <v>401</v>
      </c>
      <c r="I842" s="249"/>
      <c r="J842" s="249"/>
      <c r="K842" s="249"/>
      <c r="L842" s="249"/>
      <c r="M842" s="249"/>
      <c r="N842" s="250"/>
    </row>
    <row r="843" spans="2:16" x14ac:dyDescent="0.25">
      <c r="B843" s="251" t="str">
        <f>[1]ORÇ!B282</f>
        <v>SEDOP</v>
      </c>
      <c r="C843" s="252"/>
      <c r="D843" s="253" t="s">
        <v>402</v>
      </c>
      <c r="E843" s="253"/>
      <c r="F843" s="253"/>
      <c r="G843" s="253"/>
      <c r="H843" s="253"/>
      <c r="I843" s="253"/>
      <c r="J843" s="253"/>
      <c r="K843" s="253"/>
      <c r="L843" s="253"/>
      <c r="M843" s="253"/>
      <c r="N843" s="254"/>
    </row>
    <row r="844" spans="2:16" x14ac:dyDescent="0.25">
      <c r="B844" s="96"/>
      <c r="C844" s="97"/>
      <c r="D844" s="255"/>
      <c r="E844" s="255"/>
      <c r="F844" s="255"/>
      <c r="G844" s="255"/>
      <c r="H844" s="256" t="s">
        <v>403</v>
      </c>
      <c r="I844" s="255"/>
      <c r="J844" s="255"/>
      <c r="K844" s="255"/>
      <c r="L844" s="255"/>
      <c r="M844" s="257"/>
      <c r="N844" s="166" t="s">
        <v>14</v>
      </c>
    </row>
    <row r="845" spans="2:16" x14ac:dyDescent="0.25">
      <c r="B845" s="84" t="s">
        <v>8</v>
      </c>
      <c r="C845" s="52" t="s">
        <v>9</v>
      </c>
      <c r="D845" s="258"/>
      <c r="E845" s="258"/>
      <c r="F845" s="258"/>
      <c r="G845" s="258" t="s">
        <v>10</v>
      </c>
      <c r="H845" s="258"/>
      <c r="I845" s="258"/>
      <c r="J845" s="259"/>
      <c r="K845" s="260" t="s">
        <v>11</v>
      </c>
      <c r="L845" s="260" t="s">
        <v>12</v>
      </c>
      <c r="M845" s="193" t="s">
        <v>13</v>
      </c>
      <c r="N845" s="261"/>
    </row>
    <row r="846" spans="2:16" x14ac:dyDescent="0.25">
      <c r="B846" s="85" t="s">
        <v>26</v>
      </c>
      <c r="C846" s="89">
        <v>11267</v>
      </c>
      <c r="D846" s="103" t="s">
        <v>404</v>
      </c>
      <c r="E846" s="87"/>
      <c r="F846" s="87"/>
      <c r="G846" s="87"/>
      <c r="H846" s="87"/>
      <c r="I846" s="87"/>
      <c r="J846" s="88"/>
      <c r="K846" s="89" t="s">
        <v>75</v>
      </c>
      <c r="L846" s="90">
        <v>4</v>
      </c>
      <c r="M846" s="262">
        <v>0.96</v>
      </c>
      <c r="N846" s="262">
        <f>ROUND(M846*L846,2)</f>
        <v>3.84</v>
      </c>
    </row>
    <row r="847" spans="2:16" x14ac:dyDescent="0.25">
      <c r="B847" s="85" t="s">
        <v>26</v>
      </c>
      <c r="C847" s="89">
        <v>11976</v>
      </c>
      <c r="D847" s="103" t="s">
        <v>405</v>
      </c>
      <c r="E847" s="87"/>
      <c r="F847" s="87"/>
      <c r="G847" s="87"/>
      <c r="H847" s="87"/>
      <c r="I847" s="87"/>
      <c r="J847" s="88"/>
      <c r="K847" s="89" t="s">
        <v>75</v>
      </c>
      <c r="L847" s="90">
        <v>1.34</v>
      </c>
      <c r="M847" s="262">
        <v>1.3</v>
      </c>
      <c r="N847" s="262">
        <f t="shared" ref="N847:N854" si="44">ROUND(M847*L847,2)</f>
        <v>1.74</v>
      </c>
    </row>
    <row r="848" spans="2:16" x14ac:dyDescent="0.25">
      <c r="B848" s="85" t="s">
        <v>26</v>
      </c>
      <c r="C848" s="89">
        <v>39029</v>
      </c>
      <c r="D848" s="103" t="s">
        <v>406</v>
      </c>
      <c r="E848" s="87"/>
      <c r="F848" s="87"/>
      <c r="G848" s="87"/>
      <c r="H848" s="87"/>
      <c r="I848" s="87"/>
      <c r="J848" s="88"/>
      <c r="K848" s="89" t="s">
        <v>75</v>
      </c>
      <c r="L848" s="90">
        <v>0.56000000000000005</v>
      </c>
      <c r="M848" s="262">
        <v>20.2</v>
      </c>
      <c r="N848" s="262">
        <f t="shared" si="44"/>
        <v>11.31</v>
      </c>
    </row>
    <row r="849" spans="2:14" x14ac:dyDescent="0.25">
      <c r="B849" s="89" t="s">
        <v>96</v>
      </c>
      <c r="C849" s="89">
        <v>170931</v>
      </c>
      <c r="D849" s="103" t="s">
        <v>407</v>
      </c>
      <c r="E849" s="87"/>
      <c r="F849" s="87"/>
      <c r="G849" s="87"/>
      <c r="H849" s="87"/>
      <c r="I849" s="87"/>
      <c r="J849" s="88"/>
      <c r="K849" s="89" t="s">
        <v>75</v>
      </c>
      <c r="L849" s="90">
        <v>1</v>
      </c>
      <c r="M849" s="262">
        <v>79.56</v>
      </c>
      <c r="N849" s="262">
        <f t="shared" si="44"/>
        <v>79.56</v>
      </c>
    </row>
    <row r="850" spans="2:14" x14ac:dyDescent="0.25">
      <c r="B850" s="89" t="s">
        <v>96</v>
      </c>
      <c r="C850" s="89">
        <v>170927</v>
      </c>
      <c r="D850" s="103" t="s">
        <v>408</v>
      </c>
      <c r="E850" s="87"/>
      <c r="F850" s="87"/>
      <c r="G850" s="87"/>
      <c r="H850" s="87"/>
      <c r="I850" s="87"/>
      <c r="J850" s="88"/>
      <c r="K850" s="89" t="s">
        <v>75</v>
      </c>
      <c r="L850" s="90">
        <v>1</v>
      </c>
      <c r="M850" s="262">
        <v>60.56</v>
      </c>
      <c r="N850" s="262">
        <f t="shared" si="44"/>
        <v>60.56</v>
      </c>
    </row>
    <row r="851" spans="2:14" x14ac:dyDescent="0.25">
      <c r="B851" s="89" t="s">
        <v>96</v>
      </c>
      <c r="C851" s="89">
        <v>170924</v>
      </c>
      <c r="D851" s="103" t="s">
        <v>409</v>
      </c>
      <c r="E851" s="87"/>
      <c r="F851" s="87"/>
      <c r="G851" s="87"/>
      <c r="H851" s="87"/>
      <c r="I851" s="87"/>
      <c r="J851" s="88"/>
      <c r="K851" s="89" t="s">
        <v>75</v>
      </c>
      <c r="L851" s="90">
        <v>1</v>
      </c>
      <c r="M851" s="262">
        <v>103.86</v>
      </c>
      <c r="N851" s="262">
        <f t="shared" si="44"/>
        <v>103.86</v>
      </c>
    </row>
    <row r="852" spans="2:14" x14ac:dyDescent="0.25">
      <c r="B852" s="85" t="s">
        <v>26</v>
      </c>
      <c r="C852" s="89">
        <v>39996</v>
      </c>
      <c r="D852" s="103" t="s">
        <v>410</v>
      </c>
      <c r="E852" s="87"/>
      <c r="F852" s="87"/>
      <c r="G852" s="87"/>
      <c r="H852" s="87"/>
      <c r="I852" s="87"/>
      <c r="J852" s="88"/>
      <c r="K852" s="89" t="s">
        <v>75</v>
      </c>
      <c r="L852" s="90">
        <v>0.46700000000000003</v>
      </c>
      <c r="M852" s="262">
        <v>4.5199999999999996</v>
      </c>
      <c r="N852" s="262">
        <f t="shared" si="44"/>
        <v>2.11</v>
      </c>
    </row>
    <row r="853" spans="2:14" x14ac:dyDescent="0.25">
      <c r="B853" s="85" t="s">
        <v>26</v>
      </c>
      <c r="C853" s="89">
        <v>39997</v>
      </c>
      <c r="D853" s="103" t="s">
        <v>411</v>
      </c>
      <c r="E853" s="87"/>
      <c r="F853" s="87"/>
      <c r="G853" s="87"/>
      <c r="H853" s="87"/>
      <c r="I853" s="87"/>
      <c r="J853" s="88"/>
      <c r="K853" s="89" t="s">
        <v>75</v>
      </c>
      <c r="L853" s="90">
        <v>4</v>
      </c>
      <c r="M853" s="262">
        <v>0.33</v>
      </c>
      <c r="N853" s="262">
        <f t="shared" si="44"/>
        <v>1.32</v>
      </c>
    </row>
    <row r="854" spans="2:14" x14ac:dyDescent="0.25">
      <c r="B854" s="85" t="s">
        <v>15</v>
      </c>
      <c r="C854" s="89">
        <v>88248</v>
      </c>
      <c r="D854" s="103" t="s">
        <v>209</v>
      </c>
      <c r="E854" s="87"/>
      <c r="F854" s="87"/>
      <c r="G854" s="87"/>
      <c r="H854" s="87"/>
      <c r="I854" s="87"/>
      <c r="J854" s="88"/>
      <c r="K854" s="89" t="s">
        <v>17</v>
      </c>
      <c r="L854" s="90">
        <v>2.3E-2</v>
      </c>
      <c r="M854" s="262">
        <v>16.989999999999998</v>
      </c>
      <c r="N854" s="262">
        <f t="shared" si="44"/>
        <v>0.39</v>
      </c>
    </row>
    <row r="855" spans="2:14" x14ac:dyDescent="0.25">
      <c r="B855" s="85" t="s">
        <v>15</v>
      </c>
      <c r="C855" s="89">
        <v>88267</v>
      </c>
      <c r="D855" s="103" t="s">
        <v>210</v>
      </c>
      <c r="E855" s="87"/>
      <c r="F855" s="87"/>
      <c r="G855" s="87"/>
      <c r="H855" s="87"/>
      <c r="I855" s="87"/>
      <c r="J855" s="88"/>
      <c r="K855" s="89" t="s">
        <v>17</v>
      </c>
      <c r="L855" s="90">
        <v>0.161</v>
      </c>
      <c r="M855" s="262">
        <v>20.7</v>
      </c>
      <c r="N855" s="262">
        <f>ROUND(M855*L855,2)</f>
        <v>3.33</v>
      </c>
    </row>
    <row r="856" spans="2:14" x14ac:dyDescent="0.25">
      <c r="B856" s="96"/>
      <c r="C856" s="97"/>
      <c r="D856" s="263" t="s">
        <v>19</v>
      </c>
      <c r="E856" s="264"/>
      <c r="F856" s="264"/>
      <c r="G856" s="264"/>
      <c r="H856" s="264"/>
      <c r="I856" s="264"/>
      <c r="J856" s="264"/>
      <c r="K856" s="265"/>
      <c r="L856" s="266"/>
      <c r="M856" s="226"/>
      <c r="N856" s="267">
        <f>SUM(N846:N855)</f>
        <v>268.02</v>
      </c>
    </row>
    <row r="857" spans="2:14" x14ac:dyDescent="0.25">
      <c r="B857" s="25"/>
      <c r="C857" s="25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</row>
    <row r="858" spans="2:14" x14ac:dyDescent="0.25">
      <c r="B858" s="83" t="s">
        <v>20</v>
      </c>
      <c r="C858" s="37" t="s">
        <v>3</v>
      </c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73"/>
    </row>
    <row r="859" spans="2:14" x14ac:dyDescent="0.25">
      <c r="B859" s="40">
        <f>[1]ORÇ!B485</f>
        <v>0</v>
      </c>
      <c r="C859" s="41"/>
      <c r="D859" s="42" t="s">
        <v>412</v>
      </c>
      <c r="E859" s="43"/>
      <c r="F859" s="43"/>
      <c r="G859" s="43"/>
      <c r="H859" s="43"/>
      <c r="I859" s="43"/>
      <c r="J859" s="43"/>
      <c r="K859" s="43"/>
      <c r="L859" s="44"/>
      <c r="M859" s="45" t="s">
        <v>5</v>
      </c>
      <c r="N859" s="199" t="s">
        <v>263</v>
      </c>
    </row>
    <row r="860" spans="2:14" x14ac:dyDescent="0.25">
      <c r="B860" s="47" t="s">
        <v>413</v>
      </c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9"/>
    </row>
    <row r="861" spans="2:14" x14ac:dyDescent="0.25">
      <c r="B861" s="84" t="s">
        <v>8</v>
      </c>
      <c r="C861" s="52" t="s">
        <v>9</v>
      </c>
      <c r="D861" s="50"/>
      <c r="E861" s="50"/>
      <c r="F861" s="50"/>
      <c r="G861" s="50" t="s">
        <v>10</v>
      </c>
      <c r="H861" s="50"/>
      <c r="I861" s="50"/>
      <c r="J861" s="26"/>
      <c r="K861" s="52" t="s">
        <v>11</v>
      </c>
      <c r="L861" s="52" t="s">
        <v>12</v>
      </c>
      <c r="M861" s="192" t="s">
        <v>13</v>
      </c>
      <c r="N861" s="45" t="s">
        <v>14</v>
      </c>
    </row>
    <row r="862" spans="2:14" x14ac:dyDescent="0.25">
      <c r="B862" s="101" t="s">
        <v>41</v>
      </c>
      <c r="C862" s="102"/>
      <c r="D862" s="42" t="s">
        <v>414</v>
      </c>
      <c r="E862" s="43"/>
      <c r="F862" s="43"/>
      <c r="G862" s="43"/>
      <c r="H862" s="43"/>
      <c r="I862" s="43"/>
      <c r="J862" s="44"/>
      <c r="K862" s="120" t="s">
        <v>263</v>
      </c>
      <c r="L862" s="214">
        <v>1</v>
      </c>
      <c r="M862" s="61">
        <v>1548.62</v>
      </c>
      <c r="N862" s="168">
        <f>ROUND(M862*L862,2)</f>
        <v>1548.62</v>
      </c>
    </row>
    <row r="863" spans="2:14" x14ac:dyDescent="0.25">
      <c r="B863" s="85" t="s">
        <v>15</v>
      </c>
      <c r="C863" s="59">
        <v>88316</v>
      </c>
      <c r="D863" s="42" t="s">
        <v>33</v>
      </c>
      <c r="E863" s="43"/>
      <c r="F863" s="43"/>
      <c r="G863" s="43"/>
      <c r="H863" s="43"/>
      <c r="I863" s="43"/>
      <c r="J863" s="44"/>
      <c r="K863" s="120" t="s">
        <v>17</v>
      </c>
      <c r="L863" s="214">
        <v>0.56000000000000005</v>
      </c>
      <c r="M863" s="61">
        <v>17.09</v>
      </c>
      <c r="N863" s="168">
        <f>ROUND(M863*L863,2)</f>
        <v>9.57</v>
      </c>
    </row>
    <row r="864" spans="2:14" x14ac:dyDescent="0.25">
      <c r="B864" s="85" t="s">
        <v>15</v>
      </c>
      <c r="C864" s="59">
        <v>88309</v>
      </c>
      <c r="D864" s="221" t="s">
        <v>32</v>
      </c>
      <c r="E864" s="222"/>
      <c r="F864" s="222"/>
      <c r="G864" s="222"/>
      <c r="H864" s="222"/>
      <c r="I864" s="222"/>
      <c r="J864" s="223"/>
      <c r="K864" s="120" t="s">
        <v>17</v>
      </c>
      <c r="L864" s="214">
        <v>0.5</v>
      </c>
      <c r="M864" s="243">
        <v>21.31</v>
      </c>
      <c r="N864" s="168">
        <f>ROUND(M864*L864,2)</f>
        <v>10.66</v>
      </c>
    </row>
    <row r="865" spans="2:14" x14ac:dyDescent="0.25">
      <c r="B865" s="196"/>
      <c r="C865" s="197"/>
      <c r="D865" s="73" t="s">
        <v>34</v>
      </c>
      <c r="E865" s="112"/>
      <c r="F865" s="112"/>
      <c r="G865" s="112"/>
      <c r="H865" s="112"/>
      <c r="I865" s="112"/>
      <c r="J865" s="112"/>
      <c r="K865" s="112"/>
      <c r="L865" s="74"/>
      <c r="M865" s="198"/>
      <c r="N865" s="105">
        <f>SUM(N862:N864)</f>
        <v>1568.85</v>
      </c>
    </row>
    <row r="866" spans="2:14" x14ac:dyDescent="0.25">
      <c r="B866" s="25"/>
      <c r="C866" s="25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</row>
  </sheetData>
  <mergeCells count="724">
    <mergeCell ref="D863:J863"/>
    <mergeCell ref="D864:J864"/>
    <mergeCell ref="D865:K865"/>
    <mergeCell ref="D856:K856"/>
    <mergeCell ref="C858:N858"/>
    <mergeCell ref="D859:L859"/>
    <mergeCell ref="B860:N860"/>
    <mergeCell ref="B862:C862"/>
    <mergeCell ref="D862:J862"/>
    <mergeCell ref="D850:J850"/>
    <mergeCell ref="D851:J851"/>
    <mergeCell ref="D852:J852"/>
    <mergeCell ref="D853:J853"/>
    <mergeCell ref="D854:J854"/>
    <mergeCell ref="D855:J855"/>
    <mergeCell ref="D840:K840"/>
    <mergeCell ref="D843:N843"/>
    <mergeCell ref="D846:J846"/>
    <mergeCell ref="D847:J847"/>
    <mergeCell ref="D848:J848"/>
    <mergeCell ref="D849:J849"/>
    <mergeCell ref="D830:J830"/>
    <mergeCell ref="D832:J832"/>
    <mergeCell ref="D833:K833"/>
    <mergeCell ref="C835:N835"/>
    <mergeCell ref="D836:L836"/>
    <mergeCell ref="B837:N837"/>
    <mergeCell ref="C823:N823"/>
    <mergeCell ref="D824:L824"/>
    <mergeCell ref="B825:N825"/>
    <mergeCell ref="D827:J827"/>
    <mergeCell ref="D828:J828"/>
    <mergeCell ref="D829:J829"/>
    <mergeCell ref="D816:J816"/>
    <mergeCell ref="D817:J817"/>
    <mergeCell ref="D818:J818"/>
    <mergeCell ref="D819:J819"/>
    <mergeCell ref="D820:J820"/>
    <mergeCell ref="D821:K821"/>
    <mergeCell ref="D810:J810"/>
    <mergeCell ref="D811:J811"/>
    <mergeCell ref="D812:J812"/>
    <mergeCell ref="D813:J813"/>
    <mergeCell ref="D814:J814"/>
    <mergeCell ref="D815:J815"/>
    <mergeCell ref="D802:J802"/>
    <mergeCell ref="D803:J803"/>
    <mergeCell ref="D804:K804"/>
    <mergeCell ref="C806:N806"/>
    <mergeCell ref="D807:L807"/>
    <mergeCell ref="B808:N808"/>
    <mergeCell ref="C795:N795"/>
    <mergeCell ref="D796:L796"/>
    <mergeCell ref="B797:N797"/>
    <mergeCell ref="D798:J798"/>
    <mergeCell ref="D799:J799"/>
    <mergeCell ref="D800:J800"/>
    <mergeCell ref="D788:J788"/>
    <mergeCell ref="D789:J789"/>
    <mergeCell ref="D790:J790"/>
    <mergeCell ref="D791:J791"/>
    <mergeCell ref="D792:J792"/>
    <mergeCell ref="D793:K793"/>
    <mergeCell ref="D780:J780"/>
    <mergeCell ref="D781:J781"/>
    <mergeCell ref="D782:K782"/>
    <mergeCell ref="C784:N784"/>
    <mergeCell ref="D785:L785"/>
    <mergeCell ref="B786:N786"/>
    <mergeCell ref="C773:N773"/>
    <mergeCell ref="D774:L774"/>
    <mergeCell ref="B775:N775"/>
    <mergeCell ref="D777:J777"/>
    <mergeCell ref="D778:J778"/>
    <mergeCell ref="D779:J779"/>
    <mergeCell ref="D766:J766"/>
    <mergeCell ref="D767:J767"/>
    <mergeCell ref="D768:J768"/>
    <mergeCell ref="D769:J769"/>
    <mergeCell ref="D770:J770"/>
    <mergeCell ref="D771:K771"/>
    <mergeCell ref="D758:J758"/>
    <mergeCell ref="D759:J759"/>
    <mergeCell ref="D760:K760"/>
    <mergeCell ref="C762:N762"/>
    <mergeCell ref="D763:L763"/>
    <mergeCell ref="B764:N764"/>
    <mergeCell ref="D751:K751"/>
    <mergeCell ref="C753:N753"/>
    <mergeCell ref="D754:L754"/>
    <mergeCell ref="B755:N755"/>
    <mergeCell ref="B757:C757"/>
    <mergeCell ref="D757:J757"/>
    <mergeCell ref="D745:L745"/>
    <mergeCell ref="B746:N746"/>
    <mergeCell ref="B748:C748"/>
    <mergeCell ref="D748:J748"/>
    <mergeCell ref="D749:J749"/>
    <mergeCell ref="D750:J750"/>
    <mergeCell ref="B739:C739"/>
    <mergeCell ref="D739:J739"/>
    <mergeCell ref="D740:J740"/>
    <mergeCell ref="D741:J741"/>
    <mergeCell ref="D742:K742"/>
    <mergeCell ref="C744:N744"/>
    <mergeCell ref="D731:J731"/>
    <mergeCell ref="D732:J732"/>
    <mergeCell ref="D733:K733"/>
    <mergeCell ref="C735:N735"/>
    <mergeCell ref="D736:L736"/>
    <mergeCell ref="B737:N737"/>
    <mergeCell ref="D723:K723"/>
    <mergeCell ref="D725:N725"/>
    <mergeCell ref="D726:L726"/>
    <mergeCell ref="B727:N727"/>
    <mergeCell ref="D729:J729"/>
    <mergeCell ref="B730:C730"/>
    <mergeCell ref="D730:J730"/>
    <mergeCell ref="D717:J717"/>
    <mergeCell ref="D718:J718"/>
    <mergeCell ref="D719:J719"/>
    <mergeCell ref="D720:J720"/>
    <mergeCell ref="D721:J721"/>
    <mergeCell ref="D722:J722"/>
    <mergeCell ref="D709:J709"/>
    <mergeCell ref="D710:J710"/>
    <mergeCell ref="D711:K711"/>
    <mergeCell ref="C713:N713"/>
    <mergeCell ref="D714:L714"/>
    <mergeCell ref="B715:N715"/>
    <mergeCell ref="D702:L702"/>
    <mergeCell ref="B703:N703"/>
    <mergeCell ref="D705:J705"/>
    <mergeCell ref="D706:J706"/>
    <mergeCell ref="D707:J707"/>
    <mergeCell ref="D708:J708"/>
    <mergeCell ref="D695:J695"/>
    <mergeCell ref="D696:J696"/>
    <mergeCell ref="D697:J697"/>
    <mergeCell ref="D698:J698"/>
    <mergeCell ref="D699:K699"/>
    <mergeCell ref="C701:N701"/>
    <mergeCell ref="D687:K687"/>
    <mergeCell ref="C689:N689"/>
    <mergeCell ref="D690:L690"/>
    <mergeCell ref="B691:N691"/>
    <mergeCell ref="D693:J693"/>
    <mergeCell ref="D694:J694"/>
    <mergeCell ref="C680:N680"/>
    <mergeCell ref="D681:L681"/>
    <mergeCell ref="B682:N682"/>
    <mergeCell ref="D684:J684"/>
    <mergeCell ref="D685:J685"/>
    <mergeCell ref="D686:J686"/>
    <mergeCell ref="D673:J673"/>
    <mergeCell ref="D674:J674"/>
    <mergeCell ref="D675:J675"/>
    <mergeCell ref="D676:J676"/>
    <mergeCell ref="D677:J677"/>
    <mergeCell ref="D678:K678"/>
    <mergeCell ref="D665:J665"/>
    <mergeCell ref="D666:K666"/>
    <mergeCell ref="C668:N668"/>
    <mergeCell ref="D669:L669"/>
    <mergeCell ref="B670:N670"/>
    <mergeCell ref="D672:J672"/>
    <mergeCell ref="D657:K657"/>
    <mergeCell ref="C659:M659"/>
    <mergeCell ref="D660:L660"/>
    <mergeCell ref="B661:N661"/>
    <mergeCell ref="D663:J663"/>
    <mergeCell ref="D664:J664"/>
    <mergeCell ref="C650:M650"/>
    <mergeCell ref="D651:L651"/>
    <mergeCell ref="B652:N652"/>
    <mergeCell ref="D654:J654"/>
    <mergeCell ref="D655:J655"/>
    <mergeCell ref="D656:J656"/>
    <mergeCell ref="D642:L642"/>
    <mergeCell ref="B643:N643"/>
    <mergeCell ref="D645:J645"/>
    <mergeCell ref="D646:J646"/>
    <mergeCell ref="D647:J647"/>
    <mergeCell ref="D648:K648"/>
    <mergeCell ref="B634:N634"/>
    <mergeCell ref="D636:J636"/>
    <mergeCell ref="D637:J637"/>
    <mergeCell ref="D638:J638"/>
    <mergeCell ref="D639:K639"/>
    <mergeCell ref="C641:M641"/>
    <mergeCell ref="D627:J627"/>
    <mergeCell ref="D628:J628"/>
    <mergeCell ref="D629:J629"/>
    <mergeCell ref="D630:K630"/>
    <mergeCell ref="C632:M632"/>
    <mergeCell ref="D633:L633"/>
    <mergeCell ref="D619:J619"/>
    <mergeCell ref="D620:J620"/>
    <mergeCell ref="D621:K621"/>
    <mergeCell ref="C623:M623"/>
    <mergeCell ref="D624:L624"/>
    <mergeCell ref="B625:N625"/>
    <mergeCell ref="D611:J611"/>
    <mergeCell ref="D612:K612"/>
    <mergeCell ref="C614:M614"/>
    <mergeCell ref="D615:L615"/>
    <mergeCell ref="B616:N616"/>
    <mergeCell ref="D618:J618"/>
    <mergeCell ref="D605:J605"/>
    <mergeCell ref="D606:J606"/>
    <mergeCell ref="D607:J607"/>
    <mergeCell ref="D608:J608"/>
    <mergeCell ref="D609:J609"/>
    <mergeCell ref="D610:J610"/>
    <mergeCell ref="D598:L598"/>
    <mergeCell ref="B599:N599"/>
    <mergeCell ref="D601:J601"/>
    <mergeCell ref="D602:J602"/>
    <mergeCell ref="D603:J603"/>
    <mergeCell ref="D604:J604"/>
    <mergeCell ref="D590:J590"/>
    <mergeCell ref="D592:J592"/>
    <mergeCell ref="D593:J593"/>
    <mergeCell ref="D594:J594"/>
    <mergeCell ref="D595:K595"/>
    <mergeCell ref="C597:M597"/>
    <mergeCell ref="D584:J584"/>
    <mergeCell ref="D585:J585"/>
    <mergeCell ref="D586:J586"/>
    <mergeCell ref="D587:J587"/>
    <mergeCell ref="D588:J588"/>
    <mergeCell ref="D589:J589"/>
    <mergeCell ref="D577:K577"/>
    <mergeCell ref="C579:M579"/>
    <mergeCell ref="D580:L580"/>
    <mergeCell ref="B581:N581"/>
    <mergeCell ref="D582:J582"/>
    <mergeCell ref="D583:J583"/>
    <mergeCell ref="B571:N571"/>
    <mergeCell ref="D572:J572"/>
    <mergeCell ref="D573:J573"/>
    <mergeCell ref="D574:J574"/>
    <mergeCell ref="D575:J575"/>
    <mergeCell ref="D576:J576"/>
    <mergeCell ref="D564:J564"/>
    <mergeCell ref="D565:J565"/>
    <mergeCell ref="D566:J566"/>
    <mergeCell ref="D567:K567"/>
    <mergeCell ref="C569:M569"/>
    <mergeCell ref="D570:L570"/>
    <mergeCell ref="D558:J558"/>
    <mergeCell ref="D559:J559"/>
    <mergeCell ref="D560:J560"/>
    <mergeCell ref="D561:J561"/>
    <mergeCell ref="D562:J562"/>
    <mergeCell ref="D563:J563"/>
    <mergeCell ref="D550:J550"/>
    <mergeCell ref="D551:J551"/>
    <mergeCell ref="D552:K552"/>
    <mergeCell ref="C554:M554"/>
    <mergeCell ref="D555:L555"/>
    <mergeCell ref="B556:N556"/>
    <mergeCell ref="D543:L543"/>
    <mergeCell ref="B544:N544"/>
    <mergeCell ref="D546:J546"/>
    <mergeCell ref="D547:J547"/>
    <mergeCell ref="D548:J548"/>
    <mergeCell ref="D549:J549"/>
    <mergeCell ref="D537:J537"/>
    <mergeCell ref="D538:J538"/>
    <mergeCell ref="B539:C539"/>
    <mergeCell ref="D539:J539"/>
    <mergeCell ref="D540:K540"/>
    <mergeCell ref="C542:M542"/>
    <mergeCell ref="D529:J529"/>
    <mergeCell ref="D530:J530"/>
    <mergeCell ref="D531:K531"/>
    <mergeCell ref="C533:M533"/>
    <mergeCell ref="D534:L534"/>
    <mergeCell ref="B535:N535"/>
    <mergeCell ref="D521:J521"/>
    <mergeCell ref="D522:K522"/>
    <mergeCell ref="C524:M524"/>
    <mergeCell ref="D525:L525"/>
    <mergeCell ref="B526:N526"/>
    <mergeCell ref="D528:J528"/>
    <mergeCell ref="D513:K513"/>
    <mergeCell ref="C515:M515"/>
    <mergeCell ref="D516:L516"/>
    <mergeCell ref="B517:N517"/>
    <mergeCell ref="D519:J519"/>
    <mergeCell ref="D520:J520"/>
    <mergeCell ref="D507:J507"/>
    <mergeCell ref="D508:J508"/>
    <mergeCell ref="D509:J509"/>
    <mergeCell ref="D510:J510"/>
    <mergeCell ref="D511:J511"/>
    <mergeCell ref="D512:J512"/>
    <mergeCell ref="D501:J501"/>
    <mergeCell ref="D502:J502"/>
    <mergeCell ref="D503:J503"/>
    <mergeCell ref="D504:J504"/>
    <mergeCell ref="D505:J505"/>
    <mergeCell ref="D506:J506"/>
    <mergeCell ref="D493:J493"/>
    <mergeCell ref="D494:K494"/>
    <mergeCell ref="C496:M496"/>
    <mergeCell ref="D497:L497"/>
    <mergeCell ref="B498:N498"/>
    <mergeCell ref="D500:J500"/>
    <mergeCell ref="D487:J487"/>
    <mergeCell ref="D488:J488"/>
    <mergeCell ref="D489:J489"/>
    <mergeCell ref="D490:J490"/>
    <mergeCell ref="D491:J491"/>
    <mergeCell ref="D492:J492"/>
    <mergeCell ref="D480:L480"/>
    <mergeCell ref="B481:N481"/>
    <mergeCell ref="D483:J483"/>
    <mergeCell ref="D484:J484"/>
    <mergeCell ref="D485:J485"/>
    <mergeCell ref="D486:J486"/>
    <mergeCell ref="D473:J473"/>
    <mergeCell ref="D474:J474"/>
    <mergeCell ref="D475:J475"/>
    <mergeCell ref="D476:J476"/>
    <mergeCell ref="D477:K477"/>
    <mergeCell ref="C479:M479"/>
    <mergeCell ref="D465:K465"/>
    <mergeCell ref="C467:M467"/>
    <mergeCell ref="D468:L468"/>
    <mergeCell ref="B469:N469"/>
    <mergeCell ref="D471:J471"/>
    <mergeCell ref="D472:J472"/>
    <mergeCell ref="D459:J459"/>
    <mergeCell ref="D460:J460"/>
    <mergeCell ref="D461:J461"/>
    <mergeCell ref="D462:J462"/>
    <mergeCell ref="D463:J463"/>
    <mergeCell ref="D464:J464"/>
    <mergeCell ref="D453:J453"/>
    <mergeCell ref="D454:J454"/>
    <mergeCell ref="D455:J455"/>
    <mergeCell ref="D456:J456"/>
    <mergeCell ref="D457:J457"/>
    <mergeCell ref="D458:J458"/>
    <mergeCell ref="D445:J445"/>
    <mergeCell ref="D446:K446"/>
    <mergeCell ref="C448:M448"/>
    <mergeCell ref="D449:L449"/>
    <mergeCell ref="B450:N450"/>
    <mergeCell ref="D452:J452"/>
    <mergeCell ref="D439:J439"/>
    <mergeCell ref="D440:J440"/>
    <mergeCell ref="D441:J441"/>
    <mergeCell ref="D442:J442"/>
    <mergeCell ref="D443:J443"/>
    <mergeCell ref="D444:J444"/>
    <mergeCell ref="C432:M432"/>
    <mergeCell ref="D433:L433"/>
    <mergeCell ref="B434:N434"/>
    <mergeCell ref="D436:J436"/>
    <mergeCell ref="D437:J437"/>
    <mergeCell ref="D438:J438"/>
    <mergeCell ref="B424:N424"/>
    <mergeCell ref="D426:J426"/>
    <mergeCell ref="D427:J427"/>
    <mergeCell ref="D428:J428"/>
    <mergeCell ref="D429:J429"/>
    <mergeCell ref="D430:K430"/>
    <mergeCell ref="B416:N416"/>
    <mergeCell ref="D418:J418"/>
    <mergeCell ref="D419:J419"/>
    <mergeCell ref="D420:K420"/>
    <mergeCell ref="C422:M422"/>
    <mergeCell ref="D423:L423"/>
    <mergeCell ref="B408:N408"/>
    <mergeCell ref="D410:J410"/>
    <mergeCell ref="D411:J411"/>
    <mergeCell ref="D412:K412"/>
    <mergeCell ref="C414:M414"/>
    <mergeCell ref="D415:L415"/>
    <mergeCell ref="D401:J401"/>
    <mergeCell ref="D402:J402"/>
    <mergeCell ref="D403:J403"/>
    <mergeCell ref="D404:K404"/>
    <mergeCell ref="C406:M406"/>
    <mergeCell ref="D407:L407"/>
    <mergeCell ref="D393:J393"/>
    <mergeCell ref="B394:M394"/>
    <mergeCell ref="C396:M396"/>
    <mergeCell ref="D397:L397"/>
    <mergeCell ref="B398:N398"/>
    <mergeCell ref="D400:J400"/>
    <mergeCell ref="D387:J387"/>
    <mergeCell ref="D388:J388"/>
    <mergeCell ref="D389:J389"/>
    <mergeCell ref="D390:J390"/>
    <mergeCell ref="D391:J391"/>
    <mergeCell ref="D392:J392"/>
    <mergeCell ref="D380:J380"/>
    <mergeCell ref="D381:J381"/>
    <mergeCell ref="D382:K382"/>
    <mergeCell ref="C384:N384"/>
    <mergeCell ref="D385:L385"/>
    <mergeCell ref="B386:N386"/>
    <mergeCell ref="D372:J372"/>
    <mergeCell ref="D373:K373"/>
    <mergeCell ref="D375:N375"/>
    <mergeCell ref="D376:L376"/>
    <mergeCell ref="B377:N377"/>
    <mergeCell ref="D379:J379"/>
    <mergeCell ref="D364:K364"/>
    <mergeCell ref="D366:N366"/>
    <mergeCell ref="D367:L367"/>
    <mergeCell ref="B368:N368"/>
    <mergeCell ref="D370:J370"/>
    <mergeCell ref="D371:J371"/>
    <mergeCell ref="D357:N357"/>
    <mergeCell ref="D358:L358"/>
    <mergeCell ref="B359:N359"/>
    <mergeCell ref="D361:J361"/>
    <mergeCell ref="D362:J362"/>
    <mergeCell ref="D363:J363"/>
    <mergeCell ref="D349:L349"/>
    <mergeCell ref="B350:N350"/>
    <mergeCell ref="D352:J352"/>
    <mergeCell ref="D353:J353"/>
    <mergeCell ref="D354:J354"/>
    <mergeCell ref="D355:K355"/>
    <mergeCell ref="B341:N341"/>
    <mergeCell ref="D343:J343"/>
    <mergeCell ref="D344:J344"/>
    <mergeCell ref="D345:J345"/>
    <mergeCell ref="D346:K346"/>
    <mergeCell ref="D348:N348"/>
    <mergeCell ref="D334:J334"/>
    <mergeCell ref="D335:J335"/>
    <mergeCell ref="D336:J336"/>
    <mergeCell ref="D337:K337"/>
    <mergeCell ref="D339:N339"/>
    <mergeCell ref="D340:L340"/>
    <mergeCell ref="D326:J326"/>
    <mergeCell ref="D327:J327"/>
    <mergeCell ref="D328:K328"/>
    <mergeCell ref="D330:N330"/>
    <mergeCell ref="D331:L331"/>
    <mergeCell ref="B332:N332"/>
    <mergeCell ref="D318:J318"/>
    <mergeCell ref="D319:K319"/>
    <mergeCell ref="D321:N321"/>
    <mergeCell ref="D322:L322"/>
    <mergeCell ref="B323:N323"/>
    <mergeCell ref="D325:J325"/>
    <mergeCell ref="D310:K310"/>
    <mergeCell ref="D312:N312"/>
    <mergeCell ref="D313:L313"/>
    <mergeCell ref="B314:N314"/>
    <mergeCell ref="D316:J316"/>
    <mergeCell ref="D317:J317"/>
    <mergeCell ref="D303:N303"/>
    <mergeCell ref="D304:L304"/>
    <mergeCell ref="B305:N305"/>
    <mergeCell ref="D307:J307"/>
    <mergeCell ref="D308:J308"/>
    <mergeCell ref="D309:J309"/>
    <mergeCell ref="D295:L295"/>
    <mergeCell ref="B296:N296"/>
    <mergeCell ref="D298:J298"/>
    <mergeCell ref="D299:J299"/>
    <mergeCell ref="D300:J300"/>
    <mergeCell ref="D301:K301"/>
    <mergeCell ref="B287:N287"/>
    <mergeCell ref="D289:J289"/>
    <mergeCell ref="D290:J290"/>
    <mergeCell ref="D291:J291"/>
    <mergeCell ref="D292:K292"/>
    <mergeCell ref="D294:N294"/>
    <mergeCell ref="D280:J280"/>
    <mergeCell ref="D281:J281"/>
    <mergeCell ref="D282:J282"/>
    <mergeCell ref="D283:K283"/>
    <mergeCell ref="D285:N285"/>
    <mergeCell ref="D286:L286"/>
    <mergeCell ref="D272:J272"/>
    <mergeCell ref="D273:J273"/>
    <mergeCell ref="D274:K274"/>
    <mergeCell ref="D276:N276"/>
    <mergeCell ref="D277:L277"/>
    <mergeCell ref="B278:N278"/>
    <mergeCell ref="D264:J264"/>
    <mergeCell ref="D265:K265"/>
    <mergeCell ref="D267:N267"/>
    <mergeCell ref="D268:L268"/>
    <mergeCell ref="B269:N269"/>
    <mergeCell ref="D271:J271"/>
    <mergeCell ref="D256:K256"/>
    <mergeCell ref="D258:N258"/>
    <mergeCell ref="D259:L259"/>
    <mergeCell ref="B260:N260"/>
    <mergeCell ref="D262:J262"/>
    <mergeCell ref="D263:J263"/>
    <mergeCell ref="D249:N249"/>
    <mergeCell ref="D250:L250"/>
    <mergeCell ref="B251:N251"/>
    <mergeCell ref="D253:J253"/>
    <mergeCell ref="D254:J254"/>
    <mergeCell ref="D255:J255"/>
    <mergeCell ref="D241:L241"/>
    <mergeCell ref="B242:N242"/>
    <mergeCell ref="D244:J244"/>
    <mergeCell ref="D245:J245"/>
    <mergeCell ref="D246:J246"/>
    <mergeCell ref="D247:K247"/>
    <mergeCell ref="B233:N233"/>
    <mergeCell ref="D235:J235"/>
    <mergeCell ref="D236:J236"/>
    <mergeCell ref="D237:J237"/>
    <mergeCell ref="D238:K238"/>
    <mergeCell ref="D240:N240"/>
    <mergeCell ref="D226:J226"/>
    <mergeCell ref="D227:J227"/>
    <mergeCell ref="D228:J228"/>
    <mergeCell ref="D229:K229"/>
    <mergeCell ref="D231:N231"/>
    <mergeCell ref="D232:L232"/>
    <mergeCell ref="D218:J218"/>
    <mergeCell ref="D219:J219"/>
    <mergeCell ref="D220:K220"/>
    <mergeCell ref="D222:N222"/>
    <mergeCell ref="D223:L223"/>
    <mergeCell ref="B224:N224"/>
    <mergeCell ref="D210:J210"/>
    <mergeCell ref="D211:K211"/>
    <mergeCell ref="D213:N213"/>
    <mergeCell ref="D214:L214"/>
    <mergeCell ref="B215:N215"/>
    <mergeCell ref="D217:J217"/>
    <mergeCell ref="D203:N203"/>
    <mergeCell ref="D204:L204"/>
    <mergeCell ref="B205:N205"/>
    <mergeCell ref="D207:J207"/>
    <mergeCell ref="D208:J208"/>
    <mergeCell ref="D209:J209"/>
    <mergeCell ref="D195:L195"/>
    <mergeCell ref="B196:N196"/>
    <mergeCell ref="D198:J198"/>
    <mergeCell ref="D199:J199"/>
    <mergeCell ref="D200:J200"/>
    <mergeCell ref="D201:K201"/>
    <mergeCell ref="B187:N187"/>
    <mergeCell ref="D189:J189"/>
    <mergeCell ref="D190:J190"/>
    <mergeCell ref="D191:J191"/>
    <mergeCell ref="D192:K192"/>
    <mergeCell ref="D194:N194"/>
    <mergeCell ref="D180:J180"/>
    <mergeCell ref="D181:J181"/>
    <mergeCell ref="D182:J182"/>
    <mergeCell ref="D183:K183"/>
    <mergeCell ref="D185:N185"/>
    <mergeCell ref="D186:L186"/>
    <mergeCell ref="D172:J172"/>
    <mergeCell ref="D173:J173"/>
    <mergeCell ref="D174:K174"/>
    <mergeCell ref="D176:N176"/>
    <mergeCell ref="D177:L177"/>
    <mergeCell ref="B178:N178"/>
    <mergeCell ref="D164:J164"/>
    <mergeCell ref="D165:K165"/>
    <mergeCell ref="D167:N167"/>
    <mergeCell ref="D168:L168"/>
    <mergeCell ref="B169:N169"/>
    <mergeCell ref="D171:J171"/>
    <mergeCell ref="D156:K156"/>
    <mergeCell ref="D158:N158"/>
    <mergeCell ref="D159:L159"/>
    <mergeCell ref="B160:N160"/>
    <mergeCell ref="D162:J162"/>
    <mergeCell ref="D163:J163"/>
    <mergeCell ref="D149:N149"/>
    <mergeCell ref="D150:L150"/>
    <mergeCell ref="B151:N151"/>
    <mergeCell ref="D153:J153"/>
    <mergeCell ref="D154:J154"/>
    <mergeCell ref="D155:J155"/>
    <mergeCell ref="D141:L141"/>
    <mergeCell ref="B142:N142"/>
    <mergeCell ref="D144:J144"/>
    <mergeCell ref="D145:J145"/>
    <mergeCell ref="D146:J146"/>
    <mergeCell ref="D147:K147"/>
    <mergeCell ref="B133:N133"/>
    <mergeCell ref="D135:J135"/>
    <mergeCell ref="D136:J136"/>
    <mergeCell ref="D137:J137"/>
    <mergeCell ref="D138:K138"/>
    <mergeCell ref="D140:N140"/>
    <mergeCell ref="D126:J126"/>
    <mergeCell ref="D127:J127"/>
    <mergeCell ref="D128:J128"/>
    <mergeCell ref="D129:K129"/>
    <mergeCell ref="D131:N131"/>
    <mergeCell ref="D132:L132"/>
    <mergeCell ref="D118:J118"/>
    <mergeCell ref="D119:J119"/>
    <mergeCell ref="B120:M120"/>
    <mergeCell ref="D122:N122"/>
    <mergeCell ref="D123:L123"/>
    <mergeCell ref="B124:N124"/>
    <mergeCell ref="D112:J112"/>
    <mergeCell ref="D113:J113"/>
    <mergeCell ref="D114:J114"/>
    <mergeCell ref="D115:J115"/>
    <mergeCell ref="D116:J116"/>
    <mergeCell ref="D117:J117"/>
    <mergeCell ref="B105:M105"/>
    <mergeCell ref="C107:N107"/>
    <mergeCell ref="D108:L108"/>
    <mergeCell ref="B109:N109"/>
    <mergeCell ref="D110:J110"/>
    <mergeCell ref="D111:J111"/>
    <mergeCell ref="D99:J99"/>
    <mergeCell ref="D100:J100"/>
    <mergeCell ref="D101:J101"/>
    <mergeCell ref="D102:J102"/>
    <mergeCell ref="D103:J103"/>
    <mergeCell ref="D104:J104"/>
    <mergeCell ref="D93:L93"/>
    <mergeCell ref="B94:N94"/>
    <mergeCell ref="D95:J95"/>
    <mergeCell ref="D96:J96"/>
    <mergeCell ref="D97:J97"/>
    <mergeCell ref="D98:J98"/>
    <mergeCell ref="D86:J86"/>
    <mergeCell ref="D87:J87"/>
    <mergeCell ref="D88:J88"/>
    <mergeCell ref="D89:J89"/>
    <mergeCell ref="B90:M90"/>
    <mergeCell ref="C92:N92"/>
    <mergeCell ref="B79:M79"/>
    <mergeCell ref="C81:N81"/>
    <mergeCell ref="D82:L82"/>
    <mergeCell ref="B83:N83"/>
    <mergeCell ref="D84:J84"/>
    <mergeCell ref="D85:J85"/>
    <mergeCell ref="B73:N73"/>
    <mergeCell ref="D74:J74"/>
    <mergeCell ref="D75:J75"/>
    <mergeCell ref="D76:J76"/>
    <mergeCell ref="D77:J77"/>
    <mergeCell ref="D78:J78"/>
    <mergeCell ref="D66:J66"/>
    <mergeCell ref="D67:J67"/>
    <mergeCell ref="D68:J68"/>
    <mergeCell ref="B69:M69"/>
    <mergeCell ref="C71:N71"/>
    <mergeCell ref="D72:L72"/>
    <mergeCell ref="D59:J59"/>
    <mergeCell ref="D60:K60"/>
    <mergeCell ref="C62:N62"/>
    <mergeCell ref="D63:L63"/>
    <mergeCell ref="B64:N64"/>
    <mergeCell ref="D65:J65"/>
    <mergeCell ref="D53:J53"/>
    <mergeCell ref="D54:J54"/>
    <mergeCell ref="D55:J55"/>
    <mergeCell ref="D56:J56"/>
    <mergeCell ref="D57:J57"/>
    <mergeCell ref="D58:J58"/>
    <mergeCell ref="D45:J45"/>
    <mergeCell ref="D46:J46"/>
    <mergeCell ref="D47:K47"/>
    <mergeCell ref="D49:N49"/>
    <mergeCell ref="D50:L50"/>
    <mergeCell ref="B51:N51"/>
    <mergeCell ref="D40:J40"/>
    <mergeCell ref="D41:J41"/>
    <mergeCell ref="D42:J42"/>
    <mergeCell ref="B43:C43"/>
    <mergeCell ref="D43:J43"/>
    <mergeCell ref="D44:J44"/>
    <mergeCell ref="D34:N34"/>
    <mergeCell ref="D35:L35"/>
    <mergeCell ref="B36:N36"/>
    <mergeCell ref="B38:C38"/>
    <mergeCell ref="D38:J38"/>
    <mergeCell ref="B39:C39"/>
    <mergeCell ref="D39:J39"/>
    <mergeCell ref="D27:J27"/>
    <mergeCell ref="D28:J28"/>
    <mergeCell ref="D29:J29"/>
    <mergeCell ref="D30:J30"/>
    <mergeCell ref="D31:J31"/>
    <mergeCell ref="D32:K32"/>
    <mergeCell ref="D19:J19"/>
    <mergeCell ref="D20:K20"/>
    <mergeCell ref="D22:N22"/>
    <mergeCell ref="D23:L23"/>
    <mergeCell ref="B24:N24"/>
    <mergeCell ref="D26:J26"/>
    <mergeCell ref="L10:N10"/>
    <mergeCell ref="B12:N12"/>
    <mergeCell ref="D14:N14"/>
    <mergeCell ref="D15:L15"/>
    <mergeCell ref="B16:N16"/>
    <mergeCell ref="D18:J18"/>
    <mergeCell ref="B7:C7"/>
    <mergeCell ref="D7:N7"/>
    <mergeCell ref="B8:C8"/>
    <mergeCell ref="D8:I8"/>
    <mergeCell ref="J8:K9"/>
    <mergeCell ref="L8:N8"/>
    <mergeCell ref="B9:C10"/>
    <mergeCell ref="D9:I10"/>
    <mergeCell ref="L9:N9"/>
    <mergeCell ref="J10:K10"/>
    <mergeCell ref="B4:N4"/>
    <mergeCell ref="B5:C5"/>
    <mergeCell ref="D5:I5"/>
    <mergeCell ref="J5:K5"/>
    <mergeCell ref="L5:N5"/>
    <mergeCell ref="B6:C6"/>
    <mergeCell ref="D6:N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dcterms:created xsi:type="dcterms:W3CDTF">2022-11-08T16:39:04Z</dcterms:created>
  <dcterms:modified xsi:type="dcterms:W3CDTF">2022-11-08T16:41:16Z</dcterms:modified>
</cp:coreProperties>
</file>